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5" yWindow="-15" windowWidth="12120" windowHeight="10155" activeTab="7"/>
  </bookViews>
  <sheets>
    <sheet name="Regions total" sheetId="15" r:id="rId1"/>
    <sheet name="High" sheetId="5" r:id="rId2"/>
    <sheet name="Afro" sheetId="19" r:id="rId3"/>
    <sheet name="Amro" sheetId="13" r:id="rId4"/>
    <sheet name="Emro" sheetId="18" r:id="rId5"/>
    <sheet name="Euro" sheetId="20" r:id="rId6"/>
    <sheet name="Searo" sheetId="10" r:id="rId7"/>
    <sheet name="Wpro" sheetId="11" r:id="rId8"/>
    <sheet name="Representative countries" sheetId="17" r:id="rId9"/>
    <sheet name="Lower and upper limit" sheetId="14" r:id="rId10"/>
  </sheets>
  <calcPr calcId="145621"/>
</workbook>
</file>

<file path=xl/calcChain.xml><?xml version="1.0" encoding="utf-8"?>
<calcChain xmlns="http://schemas.openxmlformats.org/spreadsheetml/2006/main">
  <c r="K13" i="15" l="1"/>
  <c r="J13" i="15"/>
  <c r="I13" i="15"/>
  <c r="H13" i="15"/>
  <c r="G13" i="15"/>
  <c r="F13" i="15"/>
  <c r="E13" i="15"/>
  <c r="D13" i="15"/>
  <c r="C13" i="15"/>
  <c r="B13" i="15"/>
  <c r="W5" i="5" l="1"/>
  <c r="W6" i="5"/>
  <c r="W7" i="5"/>
  <c r="W8" i="5"/>
  <c r="W9" i="5"/>
  <c r="W10" i="5"/>
  <c r="W11" i="5"/>
  <c r="W12" i="5"/>
  <c r="W13" i="5"/>
  <c r="W14" i="5"/>
  <c r="W15" i="5"/>
  <c r="W16" i="5"/>
  <c r="W17" i="5"/>
  <c r="W18" i="5"/>
  <c r="W19" i="5"/>
  <c r="W20" i="5"/>
  <c r="W21" i="5"/>
  <c r="W22" i="5"/>
  <c r="W23" i="5"/>
  <c r="W24" i="5"/>
  <c r="W25" i="5"/>
  <c r="W26" i="5"/>
  <c r="W27" i="5"/>
  <c r="W28" i="5"/>
  <c r="W29" i="5"/>
  <c r="W30" i="5"/>
  <c r="W31" i="5"/>
  <c r="W32" i="5"/>
  <c r="W33" i="5"/>
  <c r="W34" i="5"/>
  <c r="W35" i="5"/>
  <c r="W36" i="5"/>
  <c r="W37" i="5"/>
  <c r="W38" i="5"/>
  <c r="W39" i="5"/>
  <c r="W40" i="5"/>
  <c r="W41" i="5"/>
  <c r="W42" i="5"/>
  <c r="W43" i="5"/>
  <c r="W44" i="5"/>
  <c r="W45" i="5"/>
  <c r="W46" i="5"/>
  <c r="W47" i="5"/>
  <c r="W48" i="5"/>
  <c r="W49" i="5"/>
  <c r="W4" i="5"/>
  <c r="T5" i="19"/>
  <c r="T6" i="19"/>
  <c r="T7" i="19"/>
  <c r="T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34" i="19"/>
  <c r="T35" i="19"/>
  <c r="T36" i="19"/>
  <c r="T37" i="19"/>
  <c r="T38" i="19"/>
  <c r="T39" i="19"/>
  <c r="T40" i="19"/>
  <c r="T41" i="19"/>
  <c r="T42" i="19"/>
  <c r="T43" i="19"/>
  <c r="T44" i="19"/>
  <c r="T45" i="19"/>
  <c r="T46" i="19"/>
  <c r="T47" i="19"/>
  <c r="T48" i="19"/>
  <c r="T49" i="19"/>
  <c r="T50" i="19"/>
  <c r="T51" i="19"/>
  <c r="T52" i="19"/>
  <c r="T53" i="19"/>
  <c r="T4" i="19"/>
  <c r="T5" i="13"/>
  <c r="T6" i="13"/>
  <c r="T7" i="13"/>
  <c r="T8" i="13"/>
  <c r="T9" i="13"/>
  <c r="T10" i="13"/>
  <c r="T11" i="13"/>
  <c r="T12" i="13"/>
  <c r="T13" i="13"/>
  <c r="T14" i="13"/>
  <c r="T15" i="13"/>
  <c r="T16" i="13"/>
  <c r="T17" i="13"/>
  <c r="T18" i="13"/>
  <c r="T19" i="13"/>
  <c r="T20" i="13"/>
  <c r="T21" i="13"/>
  <c r="T22" i="13"/>
  <c r="T23" i="13"/>
  <c r="T24" i="13"/>
  <c r="T25" i="13"/>
  <c r="T26" i="13"/>
  <c r="T27" i="13"/>
  <c r="T28" i="13"/>
  <c r="T29" i="13"/>
  <c r="T30" i="13"/>
  <c r="T31" i="13"/>
  <c r="T32" i="13"/>
  <c r="T33" i="13"/>
  <c r="T34" i="13"/>
  <c r="T35" i="13"/>
  <c r="T36" i="13"/>
  <c r="T37" i="13"/>
  <c r="T38" i="13"/>
  <c r="T39" i="13"/>
  <c r="T40" i="13"/>
  <c r="T41" i="13"/>
  <c r="T42" i="13"/>
  <c r="T43" i="13"/>
  <c r="T44" i="13"/>
  <c r="T45" i="13"/>
  <c r="T46" i="13"/>
  <c r="T47" i="13"/>
  <c r="T48" i="13"/>
  <c r="T49" i="13"/>
  <c r="T50" i="13"/>
  <c r="T4" i="13"/>
  <c r="T5" i="18"/>
  <c r="T6" i="18"/>
  <c r="T7" i="18"/>
  <c r="T8" i="18"/>
  <c r="T9" i="18"/>
  <c r="T10" i="18"/>
  <c r="T11" i="18"/>
  <c r="T12" i="18"/>
  <c r="T13" i="18"/>
  <c r="T14" i="18"/>
  <c r="T15" i="18"/>
  <c r="T16" i="18"/>
  <c r="T17" i="18"/>
  <c r="T18" i="18"/>
  <c r="T19" i="18"/>
  <c r="T20" i="18"/>
  <c r="T21" i="18"/>
  <c r="T4" i="18"/>
  <c r="V5" i="20"/>
  <c r="V6" i="20"/>
  <c r="V7" i="20"/>
  <c r="V8" i="20"/>
  <c r="V9" i="20"/>
  <c r="V10" i="20"/>
  <c r="V11" i="20"/>
  <c r="V12" i="20"/>
  <c r="V13" i="20"/>
  <c r="V14" i="20"/>
  <c r="V15" i="20"/>
  <c r="V16" i="20"/>
  <c r="V17" i="20"/>
  <c r="V18" i="20"/>
  <c r="V19" i="20"/>
  <c r="V20" i="20"/>
  <c r="V21" i="20"/>
  <c r="V22" i="20"/>
  <c r="V23" i="20"/>
  <c r="V24" i="20"/>
  <c r="V25" i="20"/>
  <c r="V26" i="20"/>
  <c r="V27" i="20"/>
  <c r="V28" i="20"/>
  <c r="V29" i="20"/>
  <c r="V30" i="20"/>
  <c r="V31" i="20"/>
  <c r="V32" i="20"/>
  <c r="V33" i="20"/>
  <c r="V4" i="20"/>
  <c r="T5" i="10"/>
  <c r="T6" i="10"/>
  <c r="T7" i="10"/>
  <c r="T8" i="10"/>
  <c r="T9" i="10"/>
  <c r="T10" i="10"/>
  <c r="T11" i="10"/>
  <c r="T12" i="10"/>
  <c r="T13" i="10"/>
  <c r="T14" i="10"/>
  <c r="T15" i="10"/>
  <c r="T4" i="10"/>
  <c r="T5" i="11"/>
  <c r="T6" i="11"/>
  <c r="T7" i="11"/>
  <c r="T8" i="11"/>
  <c r="T9" i="11"/>
  <c r="T10" i="11"/>
  <c r="T11" i="11"/>
  <c r="T12" i="11"/>
  <c r="T13" i="11"/>
  <c r="T14" i="11"/>
  <c r="T15" i="11"/>
  <c r="T16" i="11"/>
  <c r="T17" i="11"/>
  <c r="T18" i="11"/>
  <c r="T19" i="11"/>
  <c r="T20" i="11"/>
  <c r="T21" i="11"/>
  <c r="T22" i="11"/>
  <c r="T23" i="11"/>
  <c r="T24" i="11"/>
  <c r="T25" i="11"/>
  <c r="T26" i="11"/>
  <c r="T27" i="11"/>
  <c r="T28" i="11"/>
  <c r="T29" i="11"/>
  <c r="T30" i="11"/>
  <c r="T31" i="11"/>
  <c r="T32" i="11"/>
  <c r="T33" i="11"/>
  <c r="T34" i="11"/>
  <c r="T35" i="11"/>
  <c r="T36" i="11"/>
  <c r="T4" i="11"/>
  <c r="K7" i="15"/>
  <c r="K8" i="15"/>
  <c r="K9" i="15"/>
  <c r="K10" i="15"/>
  <c r="K11" i="15"/>
  <c r="K12" i="15"/>
  <c r="K6" i="15"/>
  <c r="U49" i="5" l="1"/>
  <c r="G49" i="5"/>
  <c r="H49" i="5"/>
  <c r="I49" i="5"/>
  <c r="B36" i="11" l="1"/>
  <c r="B15" i="10"/>
  <c r="B49" i="5"/>
  <c r="B33" i="20"/>
  <c r="B21" i="18"/>
  <c r="B9" i="15" s="1"/>
  <c r="B50" i="13"/>
  <c r="B8" i="15"/>
  <c r="B53" i="19"/>
  <c r="B7" i="15" s="1"/>
  <c r="B12" i="15"/>
  <c r="B11" i="15"/>
  <c r="B6" i="15"/>
  <c r="B10" i="15"/>
  <c r="I36" i="11" l="1"/>
  <c r="H36" i="11"/>
  <c r="G36" i="11"/>
  <c r="I35" i="11"/>
  <c r="H35" i="11"/>
  <c r="G35" i="11"/>
  <c r="I28" i="11"/>
  <c r="H28" i="11"/>
  <c r="G28" i="11"/>
  <c r="I25" i="11"/>
  <c r="H25" i="11"/>
  <c r="G25" i="11"/>
  <c r="I22" i="11"/>
  <c r="H22" i="11"/>
  <c r="G22" i="11"/>
  <c r="I17" i="11"/>
  <c r="H17" i="11"/>
  <c r="G17" i="11"/>
  <c r="I16" i="11"/>
  <c r="H16" i="11"/>
  <c r="G16" i="11"/>
  <c r="I12" i="11"/>
  <c r="H12" i="11"/>
  <c r="G12" i="11"/>
  <c r="I34" i="11"/>
  <c r="H34" i="11"/>
  <c r="G34" i="11"/>
  <c r="I33" i="11"/>
  <c r="H33" i="11"/>
  <c r="G33" i="11"/>
  <c r="I32" i="11"/>
  <c r="H32" i="11"/>
  <c r="G32" i="11"/>
  <c r="I31" i="11"/>
  <c r="H31" i="11"/>
  <c r="G31" i="11"/>
  <c r="I29" i="11"/>
  <c r="H29" i="11"/>
  <c r="G29" i="11"/>
  <c r="I27" i="11"/>
  <c r="H27" i="11"/>
  <c r="G27" i="11"/>
  <c r="I26" i="11"/>
  <c r="H26" i="11"/>
  <c r="G26" i="11"/>
  <c r="I24" i="11"/>
  <c r="H24" i="11"/>
  <c r="G24" i="11"/>
  <c r="I23" i="11"/>
  <c r="H23" i="11"/>
  <c r="G23" i="11"/>
  <c r="I20" i="11"/>
  <c r="H20" i="11"/>
  <c r="G20" i="11"/>
  <c r="I18" i="11"/>
  <c r="H18" i="11"/>
  <c r="G18" i="11"/>
  <c r="I15" i="11"/>
  <c r="H15" i="11"/>
  <c r="G15" i="11"/>
  <c r="I14" i="11"/>
  <c r="H14" i="11"/>
  <c r="G14" i="11"/>
  <c r="I13" i="11"/>
  <c r="H13" i="11"/>
  <c r="G13" i="11"/>
  <c r="I11" i="11"/>
  <c r="H11" i="11"/>
  <c r="G11" i="11"/>
  <c r="I10" i="11"/>
  <c r="H10" i="11"/>
  <c r="G10" i="11"/>
  <c r="I9" i="11"/>
  <c r="H9" i="11"/>
  <c r="G9" i="11"/>
  <c r="I8" i="11"/>
  <c r="H8" i="11"/>
  <c r="G8" i="11"/>
  <c r="I7" i="11"/>
  <c r="H7" i="11"/>
  <c r="G7" i="11"/>
  <c r="I6" i="11"/>
  <c r="H6" i="11"/>
  <c r="G6" i="11"/>
  <c r="I5" i="11"/>
  <c r="H5" i="11"/>
  <c r="G5" i="11"/>
  <c r="I4" i="11"/>
  <c r="H4" i="11"/>
  <c r="G4" i="11"/>
  <c r="I15" i="10"/>
  <c r="H15" i="10"/>
  <c r="G15" i="10"/>
  <c r="I14" i="10"/>
  <c r="H14" i="10"/>
  <c r="G14" i="10"/>
  <c r="L14" i="10" s="1"/>
  <c r="I11" i="10"/>
  <c r="H11" i="10"/>
  <c r="M11" i="10" s="1"/>
  <c r="G11" i="10"/>
  <c r="L11" i="10" s="1"/>
  <c r="I10" i="10"/>
  <c r="H10" i="10"/>
  <c r="G10" i="10"/>
  <c r="L10" i="10" s="1"/>
  <c r="I8" i="10"/>
  <c r="N8" i="10" s="1"/>
  <c r="H8" i="10"/>
  <c r="G8" i="10"/>
  <c r="I6" i="10"/>
  <c r="H6" i="10"/>
  <c r="M6" i="10" s="1"/>
  <c r="G6" i="10"/>
  <c r="L6" i="10" s="1"/>
  <c r="I13" i="10"/>
  <c r="H13" i="10"/>
  <c r="G13" i="10"/>
  <c r="L13" i="10" s="1"/>
  <c r="I12" i="10"/>
  <c r="H12" i="10"/>
  <c r="G12" i="10"/>
  <c r="I9" i="10"/>
  <c r="N9" i="10" s="1"/>
  <c r="H9" i="10"/>
  <c r="M9" i="10" s="1"/>
  <c r="G9" i="10"/>
  <c r="L9" i="10" s="1"/>
  <c r="I7" i="10"/>
  <c r="H7" i="10"/>
  <c r="M7" i="10" s="1"/>
  <c r="G7" i="10"/>
  <c r="L7" i="10" s="1"/>
  <c r="I5" i="10"/>
  <c r="H5" i="10"/>
  <c r="G5" i="10"/>
  <c r="L5" i="10" s="1"/>
  <c r="I4" i="10"/>
  <c r="H4" i="10"/>
  <c r="M4" i="10" s="1"/>
  <c r="G4" i="10"/>
  <c r="N14" i="10"/>
  <c r="M14" i="10"/>
  <c r="N13" i="10"/>
  <c r="M13" i="10"/>
  <c r="N12" i="10"/>
  <c r="M12" i="10"/>
  <c r="L12" i="10"/>
  <c r="N11" i="10"/>
  <c r="N10" i="10"/>
  <c r="M10" i="10"/>
  <c r="M8" i="10"/>
  <c r="L8" i="10"/>
  <c r="N7" i="10"/>
  <c r="N6" i="10"/>
  <c r="N5" i="10"/>
  <c r="M5" i="10"/>
  <c r="N4" i="10"/>
  <c r="L4" i="10"/>
  <c r="P48" i="5"/>
  <c r="O48" i="5"/>
  <c r="N48" i="5"/>
  <c r="P45" i="5"/>
  <c r="O45" i="5"/>
  <c r="N45" i="5"/>
  <c r="P39" i="5"/>
  <c r="O39" i="5"/>
  <c r="N39" i="5"/>
  <c r="P38" i="5"/>
  <c r="O38" i="5"/>
  <c r="N38" i="5"/>
  <c r="P37" i="5"/>
  <c r="O37" i="5"/>
  <c r="N37" i="5"/>
  <c r="P29" i="5"/>
  <c r="O29" i="5"/>
  <c r="N29" i="5"/>
  <c r="P28" i="5"/>
  <c r="O28" i="5"/>
  <c r="N28" i="5"/>
  <c r="P27" i="5"/>
  <c r="O27" i="5"/>
  <c r="N27" i="5"/>
  <c r="P26" i="5"/>
  <c r="O26" i="5"/>
  <c r="N26" i="5"/>
  <c r="P25" i="5"/>
  <c r="O25" i="5"/>
  <c r="N25" i="5"/>
  <c r="P23" i="5"/>
  <c r="O23" i="5"/>
  <c r="N23" i="5"/>
  <c r="P22" i="5"/>
  <c r="O22" i="5"/>
  <c r="N22" i="5"/>
  <c r="P20" i="5"/>
  <c r="O20" i="5"/>
  <c r="N20" i="5"/>
  <c r="P18" i="5"/>
  <c r="O18" i="5"/>
  <c r="N18" i="5"/>
  <c r="P17" i="5"/>
  <c r="O17" i="5"/>
  <c r="N17" i="5"/>
  <c r="P10" i="5"/>
  <c r="O10" i="5"/>
  <c r="N10" i="5"/>
  <c r="P8" i="5"/>
  <c r="O8" i="5"/>
  <c r="N8" i="5"/>
  <c r="P7" i="5"/>
  <c r="O7" i="5"/>
  <c r="N7" i="5"/>
  <c r="P4" i="5"/>
  <c r="O4" i="5"/>
  <c r="N4" i="5"/>
  <c r="K372" i="17"/>
  <c r="K371" i="17"/>
  <c r="K370" i="17"/>
  <c r="L15" i="10" l="1"/>
  <c r="N15" i="10"/>
  <c r="M15" i="10"/>
  <c r="I47" i="5"/>
  <c r="H47" i="5"/>
  <c r="G47" i="5"/>
  <c r="I46" i="5"/>
  <c r="H46" i="5"/>
  <c r="G46" i="5"/>
  <c r="I45" i="5"/>
  <c r="H45" i="5"/>
  <c r="G45" i="5"/>
  <c r="I44" i="5"/>
  <c r="H44" i="5"/>
  <c r="G44" i="5"/>
  <c r="I43" i="5"/>
  <c r="H43" i="5"/>
  <c r="G43" i="5"/>
  <c r="I42" i="5"/>
  <c r="H42" i="5"/>
  <c r="G42" i="5"/>
  <c r="I41" i="5"/>
  <c r="H41" i="5"/>
  <c r="G41" i="5"/>
  <c r="I40" i="5"/>
  <c r="H40" i="5"/>
  <c r="G40" i="5"/>
  <c r="I38" i="5"/>
  <c r="H38" i="5"/>
  <c r="G38" i="5"/>
  <c r="I37" i="5"/>
  <c r="H37" i="5"/>
  <c r="G37" i="5"/>
  <c r="I36" i="5"/>
  <c r="H36" i="5"/>
  <c r="G36" i="5"/>
  <c r="I35" i="5"/>
  <c r="H35" i="5"/>
  <c r="G35" i="5"/>
  <c r="I34" i="5"/>
  <c r="H34" i="5"/>
  <c r="G34" i="5"/>
  <c r="I33" i="5"/>
  <c r="H33" i="5"/>
  <c r="G33" i="5"/>
  <c r="I31" i="5"/>
  <c r="H31" i="5"/>
  <c r="G31" i="5"/>
  <c r="I30" i="5"/>
  <c r="H30" i="5"/>
  <c r="G30" i="5"/>
  <c r="I29" i="5"/>
  <c r="H29" i="5"/>
  <c r="G29" i="5"/>
  <c r="I27" i="5"/>
  <c r="H27" i="5"/>
  <c r="G27" i="5"/>
  <c r="I25" i="5"/>
  <c r="H25" i="5"/>
  <c r="G25" i="5"/>
  <c r="I24" i="5"/>
  <c r="H24" i="5"/>
  <c r="G24" i="5"/>
  <c r="I23" i="5"/>
  <c r="H23" i="5"/>
  <c r="G23" i="5"/>
  <c r="I22" i="5"/>
  <c r="H22" i="5"/>
  <c r="G22" i="5"/>
  <c r="I21" i="5"/>
  <c r="H21" i="5"/>
  <c r="G21" i="5"/>
  <c r="I20" i="5"/>
  <c r="H20" i="5"/>
  <c r="G20" i="5"/>
  <c r="I18" i="5"/>
  <c r="H18" i="5"/>
  <c r="G18" i="5"/>
  <c r="I17" i="5"/>
  <c r="H17" i="5"/>
  <c r="G17" i="5"/>
  <c r="I16" i="5"/>
  <c r="H16" i="5"/>
  <c r="G16" i="5"/>
  <c r="I15" i="5"/>
  <c r="H15" i="5"/>
  <c r="G15" i="5"/>
  <c r="I14" i="5"/>
  <c r="H14" i="5"/>
  <c r="G14" i="5"/>
  <c r="I13" i="5"/>
  <c r="H13" i="5"/>
  <c r="G13" i="5"/>
  <c r="I12" i="5"/>
  <c r="H12" i="5"/>
  <c r="G12" i="5"/>
  <c r="I11" i="5"/>
  <c r="H11" i="5"/>
  <c r="G11" i="5"/>
  <c r="I10" i="5"/>
  <c r="H10" i="5"/>
  <c r="G10" i="5"/>
  <c r="I9" i="5"/>
  <c r="H9" i="5"/>
  <c r="G9" i="5"/>
  <c r="I8" i="5"/>
  <c r="H8" i="5"/>
  <c r="G8" i="5"/>
  <c r="I7" i="5"/>
  <c r="H7" i="5"/>
  <c r="G7" i="5"/>
  <c r="I6" i="5"/>
  <c r="H6" i="5"/>
  <c r="G6" i="5"/>
  <c r="I5" i="5"/>
  <c r="H5" i="5"/>
  <c r="G5" i="5"/>
  <c r="I48" i="5"/>
  <c r="H48" i="5"/>
  <c r="G48" i="5"/>
  <c r="I39" i="5"/>
  <c r="H39" i="5"/>
  <c r="G39" i="5"/>
  <c r="I28" i="5"/>
  <c r="H28" i="5"/>
  <c r="G28" i="5"/>
  <c r="I26" i="5"/>
  <c r="H26" i="5"/>
  <c r="G26" i="5"/>
  <c r="I4" i="5"/>
  <c r="H4" i="5"/>
  <c r="G4" i="5"/>
  <c r="I33" i="20"/>
  <c r="P33" i="20" s="1"/>
  <c r="H33" i="20"/>
  <c r="O33" i="20" s="1"/>
  <c r="G33" i="20"/>
  <c r="N33" i="20"/>
  <c r="I30" i="20"/>
  <c r="H30" i="20"/>
  <c r="O30" i="20" s="1"/>
  <c r="G30" i="20"/>
  <c r="N30" i="20" s="1"/>
  <c r="I14" i="20"/>
  <c r="P14" i="20" s="1"/>
  <c r="H14" i="20"/>
  <c r="O14" i="20" s="1"/>
  <c r="G14" i="20"/>
  <c r="N14" i="20" s="1"/>
  <c r="I32" i="20"/>
  <c r="H32" i="20"/>
  <c r="O32" i="20" s="1"/>
  <c r="G32" i="20"/>
  <c r="I31" i="20"/>
  <c r="P31" i="20" s="1"/>
  <c r="H31" i="20"/>
  <c r="G31" i="20"/>
  <c r="N31" i="20" s="1"/>
  <c r="I29" i="20"/>
  <c r="H29" i="20"/>
  <c r="G29" i="20"/>
  <c r="I28" i="20"/>
  <c r="H28" i="20"/>
  <c r="G28" i="20"/>
  <c r="I27" i="20"/>
  <c r="H27" i="20"/>
  <c r="G27" i="20"/>
  <c r="I26" i="20"/>
  <c r="H26" i="20"/>
  <c r="O26" i="20" s="1"/>
  <c r="G26" i="20"/>
  <c r="I25" i="20"/>
  <c r="H25" i="20"/>
  <c r="G25" i="20"/>
  <c r="N25" i="20" s="1"/>
  <c r="I24" i="20"/>
  <c r="H24" i="20"/>
  <c r="G24" i="20"/>
  <c r="I23" i="20"/>
  <c r="H23" i="20"/>
  <c r="G23" i="20"/>
  <c r="I22" i="20"/>
  <c r="P22" i="20" s="1"/>
  <c r="H22" i="20"/>
  <c r="O22" i="20" s="1"/>
  <c r="G22" i="20"/>
  <c r="I21" i="20"/>
  <c r="P21" i="20" s="1"/>
  <c r="H21" i="20"/>
  <c r="O21" i="20" s="1"/>
  <c r="G21" i="20"/>
  <c r="N21" i="20" s="1"/>
  <c r="I20" i="20"/>
  <c r="H20" i="20"/>
  <c r="O20" i="20" s="1"/>
  <c r="G20" i="20"/>
  <c r="N20" i="20" s="1"/>
  <c r="I19" i="20"/>
  <c r="H19" i="20"/>
  <c r="G19" i="20"/>
  <c r="I18" i="20"/>
  <c r="H18" i="20"/>
  <c r="G18" i="20"/>
  <c r="I17" i="20"/>
  <c r="H17" i="20"/>
  <c r="G17" i="20"/>
  <c r="N17" i="20" s="1"/>
  <c r="I16" i="20"/>
  <c r="H16" i="20"/>
  <c r="G16" i="20"/>
  <c r="I15" i="20"/>
  <c r="H15" i="20"/>
  <c r="G15" i="20"/>
  <c r="I13" i="20"/>
  <c r="H13" i="20"/>
  <c r="G13" i="20"/>
  <c r="N13" i="20" s="1"/>
  <c r="I12" i="20"/>
  <c r="H12" i="20"/>
  <c r="G12" i="20"/>
  <c r="I11" i="20"/>
  <c r="H11" i="20"/>
  <c r="G11" i="20"/>
  <c r="I10" i="20"/>
  <c r="H10" i="20"/>
  <c r="G10" i="20"/>
  <c r="I9" i="20"/>
  <c r="H9" i="20"/>
  <c r="G9" i="20"/>
  <c r="I8" i="20"/>
  <c r="H8" i="20"/>
  <c r="G8" i="20"/>
  <c r="I7" i="20"/>
  <c r="P7" i="20" s="1"/>
  <c r="H7" i="20"/>
  <c r="G7" i="20"/>
  <c r="I6" i="20"/>
  <c r="H6" i="20"/>
  <c r="O6" i="20" s="1"/>
  <c r="G6" i="20"/>
  <c r="I5" i="20"/>
  <c r="H5" i="20"/>
  <c r="G5" i="20"/>
  <c r="N5" i="20" s="1"/>
  <c r="I4" i="20"/>
  <c r="H4" i="20"/>
  <c r="G4" i="20"/>
  <c r="P32" i="20"/>
  <c r="N32" i="20"/>
  <c r="O31" i="20"/>
  <c r="P30" i="20"/>
  <c r="P29" i="20"/>
  <c r="O29" i="20"/>
  <c r="N29" i="20"/>
  <c r="P28" i="20"/>
  <c r="O28" i="20"/>
  <c r="N28" i="20"/>
  <c r="P26" i="20"/>
  <c r="N26" i="20"/>
  <c r="P25" i="20"/>
  <c r="O25" i="20"/>
  <c r="N22" i="20"/>
  <c r="P20" i="20"/>
  <c r="P17" i="20"/>
  <c r="O17" i="20"/>
  <c r="P16" i="20"/>
  <c r="O16" i="20"/>
  <c r="N16" i="20"/>
  <c r="P13" i="20"/>
  <c r="O13" i="20"/>
  <c r="P8" i="20"/>
  <c r="O8" i="20"/>
  <c r="N8" i="20"/>
  <c r="O7" i="20"/>
  <c r="N7" i="20"/>
  <c r="P6" i="20"/>
  <c r="N6" i="20"/>
  <c r="P5" i="20"/>
  <c r="O5" i="20"/>
  <c r="P4" i="20"/>
  <c r="O4" i="20"/>
  <c r="N4" i="20"/>
  <c r="I21" i="18"/>
  <c r="H21" i="18"/>
  <c r="G21" i="18"/>
  <c r="I15" i="18"/>
  <c r="N15" i="18" s="1"/>
  <c r="H15" i="18"/>
  <c r="M15" i="18" s="1"/>
  <c r="G15" i="18"/>
  <c r="L15" i="18" s="1"/>
  <c r="I9" i="18"/>
  <c r="H9" i="18"/>
  <c r="M9" i="18" s="1"/>
  <c r="G9" i="18"/>
  <c r="L9" i="18" s="1"/>
  <c r="I5" i="18"/>
  <c r="H5" i="18"/>
  <c r="G5" i="18"/>
  <c r="I20" i="18"/>
  <c r="H20" i="18"/>
  <c r="G20" i="18"/>
  <c r="L20" i="18" s="1"/>
  <c r="I19" i="18"/>
  <c r="N19" i="18" s="1"/>
  <c r="H19" i="18"/>
  <c r="G19" i="18"/>
  <c r="I18" i="18"/>
  <c r="N18" i="18" s="1"/>
  <c r="H18" i="18"/>
  <c r="M18" i="18" s="1"/>
  <c r="G18" i="18"/>
  <c r="I17" i="18"/>
  <c r="H17" i="18"/>
  <c r="M17" i="18" s="1"/>
  <c r="G17" i="18"/>
  <c r="L17" i="18" s="1"/>
  <c r="I16" i="18"/>
  <c r="H16" i="18"/>
  <c r="G16" i="18"/>
  <c r="L16" i="18" s="1"/>
  <c r="I14" i="18"/>
  <c r="H14" i="18"/>
  <c r="G14" i="18"/>
  <c r="L14" i="18" s="1"/>
  <c r="I13" i="18"/>
  <c r="H13" i="18"/>
  <c r="G13" i="18"/>
  <c r="I12" i="18"/>
  <c r="N12" i="18" s="1"/>
  <c r="H12" i="18"/>
  <c r="G12" i="18"/>
  <c r="I11" i="18"/>
  <c r="H11" i="18"/>
  <c r="M11" i="18" s="1"/>
  <c r="G11" i="18"/>
  <c r="I10" i="18"/>
  <c r="H10" i="18"/>
  <c r="G10" i="18"/>
  <c r="L10" i="18" s="1"/>
  <c r="I8" i="18"/>
  <c r="H8" i="18"/>
  <c r="G8" i="18"/>
  <c r="I7" i="18"/>
  <c r="H7" i="18"/>
  <c r="G7" i="18"/>
  <c r="I6" i="18"/>
  <c r="N6" i="18" s="1"/>
  <c r="H6" i="18"/>
  <c r="G6" i="18"/>
  <c r="I4" i="18"/>
  <c r="H4" i="18"/>
  <c r="G4" i="18"/>
  <c r="N20" i="18"/>
  <c r="M20" i="18"/>
  <c r="M19" i="18"/>
  <c r="L19" i="18"/>
  <c r="L18" i="18"/>
  <c r="N17" i="18"/>
  <c r="N16" i="18"/>
  <c r="M16" i="18"/>
  <c r="N14" i="18"/>
  <c r="M14" i="18"/>
  <c r="N13" i="18"/>
  <c r="M13" i="18"/>
  <c r="L13" i="18"/>
  <c r="M12" i="18"/>
  <c r="L12" i="18"/>
  <c r="N11" i="18"/>
  <c r="L11" i="18"/>
  <c r="N10" i="18"/>
  <c r="M10" i="18"/>
  <c r="N9" i="18"/>
  <c r="N8" i="18"/>
  <c r="M8" i="18"/>
  <c r="L8" i="18"/>
  <c r="N7" i="18"/>
  <c r="M7" i="18"/>
  <c r="L7" i="18"/>
  <c r="M6" i="18"/>
  <c r="L6" i="18"/>
  <c r="N5" i="18"/>
  <c r="M5" i="18"/>
  <c r="L5" i="18"/>
  <c r="N4" i="18"/>
  <c r="M4" i="18"/>
  <c r="L4" i="18"/>
  <c r="N50" i="13"/>
  <c r="M50" i="13"/>
  <c r="L50" i="13"/>
  <c r="I50" i="13"/>
  <c r="H50" i="13"/>
  <c r="G50" i="13"/>
  <c r="I44" i="13"/>
  <c r="H44" i="13"/>
  <c r="G44" i="13"/>
  <c r="L44" i="13" s="1"/>
  <c r="I43" i="13"/>
  <c r="H43" i="13"/>
  <c r="M43" i="13" s="1"/>
  <c r="G43" i="13"/>
  <c r="L43" i="13" s="1"/>
  <c r="I41" i="13"/>
  <c r="H41" i="13"/>
  <c r="G41" i="13"/>
  <c r="I34" i="13"/>
  <c r="H34" i="13"/>
  <c r="G34" i="13"/>
  <c r="L34" i="13" s="1"/>
  <c r="I29" i="13"/>
  <c r="H29" i="13"/>
  <c r="G29" i="13"/>
  <c r="I25" i="13"/>
  <c r="H25" i="13"/>
  <c r="G25" i="13"/>
  <c r="L25" i="13" s="1"/>
  <c r="I23" i="13"/>
  <c r="H23" i="13"/>
  <c r="G23" i="13"/>
  <c r="I11" i="13"/>
  <c r="H11" i="13"/>
  <c r="G11" i="13"/>
  <c r="L11" i="13" s="1"/>
  <c r="I49" i="13"/>
  <c r="H49" i="13"/>
  <c r="M49" i="13" s="1"/>
  <c r="G49" i="13"/>
  <c r="L49" i="13" s="1"/>
  <c r="I48" i="13"/>
  <c r="H48" i="13"/>
  <c r="G48" i="13"/>
  <c r="L48" i="13" s="1"/>
  <c r="I47" i="13"/>
  <c r="N47" i="13" s="1"/>
  <c r="H47" i="13"/>
  <c r="G47" i="13"/>
  <c r="I46" i="13"/>
  <c r="N46" i="13" s="1"/>
  <c r="H46" i="13"/>
  <c r="M46" i="13" s="1"/>
  <c r="G46" i="13"/>
  <c r="I45" i="13"/>
  <c r="H45" i="13"/>
  <c r="M45" i="13" s="1"/>
  <c r="G45" i="13"/>
  <c r="L45" i="13" s="1"/>
  <c r="I42" i="13"/>
  <c r="H42" i="13"/>
  <c r="G42" i="13"/>
  <c r="I40" i="13"/>
  <c r="H40" i="13"/>
  <c r="M40" i="13" s="1"/>
  <c r="G40" i="13"/>
  <c r="L40" i="13" s="1"/>
  <c r="I39" i="13"/>
  <c r="H39" i="13"/>
  <c r="G39" i="13"/>
  <c r="I38" i="13"/>
  <c r="H38" i="13"/>
  <c r="G38" i="13"/>
  <c r="I37" i="13"/>
  <c r="H37" i="13"/>
  <c r="M37" i="13" s="1"/>
  <c r="G37" i="13"/>
  <c r="I36" i="13"/>
  <c r="N36" i="13" s="1"/>
  <c r="H36" i="13"/>
  <c r="M36" i="13" s="1"/>
  <c r="G36" i="13"/>
  <c r="L36" i="13" s="1"/>
  <c r="I35" i="13"/>
  <c r="H35" i="13"/>
  <c r="G35" i="13"/>
  <c r="L35" i="13" s="1"/>
  <c r="I33" i="13"/>
  <c r="H33" i="13"/>
  <c r="G33" i="13"/>
  <c r="L33" i="13" s="1"/>
  <c r="I32" i="13"/>
  <c r="H32" i="13"/>
  <c r="G32" i="13"/>
  <c r="I31" i="13"/>
  <c r="N31" i="13" s="1"/>
  <c r="H31" i="13"/>
  <c r="G31" i="13"/>
  <c r="I30" i="13"/>
  <c r="H30" i="13"/>
  <c r="M30" i="13" s="1"/>
  <c r="G30" i="13"/>
  <c r="I28" i="13"/>
  <c r="H28" i="13"/>
  <c r="G28" i="13"/>
  <c r="I27" i="13"/>
  <c r="H27" i="13"/>
  <c r="G27" i="13"/>
  <c r="L27" i="13" s="1"/>
  <c r="I26" i="13"/>
  <c r="N26" i="13" s="1"/>
  <c r="H26" i="13"/>
  <c r="G26" i="13"/>
  <c r="I24" i="13"/>
  <c r="H24" i="13"/>
  <c r="G24" i="13"/>
  <c r="L24" i="13" s="1"/>
  <c r="I22" i="13"/>
  <c r="H22" i="13"/>
  <c r="G22" i="13"/>
  <c r="L22" i="13" s="1"/>
  <c r="I21" i="13"/>
  <c r="H21" i="13"/>
  <c r="G21" i="13"/>
  <c r="I20" i="13"/>
  <c r="H20" i="13"/>
  <c r="G20" i="13"/>
  <c r="L20" i="13" s="1"/>
  <c r="I19" i="13"/>
  <c r="N19" i="13" s="1"/>
  <c r="H19" i="13"/>
  <c r="M19" i="13" s="1"/>
  <c r="G19" i="13"/>
  <c r="I18" i="13"/>
  <c r="H18" i="13"/>
  <c r="M18" i="13" s="1"/>
  <c r="G18" i="13"/>
  <c r="L18" i="13" s="1"/>
  <c r="I17" i="13"/>
  <c r="H17" i="13"/>
  <c r="G17" i="13"/>
  <c r="I16" i="13"/>
  <c r="N16" i="13" s="1"/>
  <c r="H16" i="13"/>
  <c r="G16" i="13"/>
  <c r="I15" i="13"/>
  <c r="H15" i="13"/>
  <c r="G15" i="13"/>
  <c r="I14" i="13"/>
  <c r="N14" i="13" s="1"/>
  <c r="H14" i="13"/>
  <c r="M14" i="13" s="1"/>
  <c r="G14" i="13"/>
  <c r="L14" i="13" s="1"/>
  <c r="I13" i="13"/>
  <c r="H13" i="13"/>
  <c r="G13" i="13"/>
  <c r="L13" i="13" s="1"/>
  <c r="I12" i="13"/>
  <c r="N12" i="13" s="1"/>
  <c r="H12" i="13"/>
  <c r="G12" i="13"/>
  <c r="I10" i="13"/>
  <c r="H10" i="13"/>
  <c r="G10" i="13"/>
  <c r="I9" i="13"/>
  <c r="H9" i="13"/>
  <c r="G9" i="13"/>
  <c r="I8" i="13"/>
  <c r="H8" i="13"/>
  <c r="G8" i="13"/>
  <c r="I7" i="13"/>
  <c r="H7" i="13"/>
  <c r="G7" i="13"/>
  <c r="I6" i="13"/>
  <c r="H6" i="13"/>
  <c r="G6" i="13"/>
  <c r="I5" i="13"/>
  <c r="H5" i="13"/>
  <c r="G5" i="13"/>
  <c r="I4" i="13"/>
  <c r="H4" i="13"/>
  <c r="G4" i="13"/>
  <c r="I53" i="19"/>
  <c r="H53" i="19"/>
  <c r="G53" i="19"/>
  <c r="I52" i="19"/>
  <c r="H52" i="19"/>
  <c r="G52" i="19"/>
  <c r="I49" i="19"/>
  <c r="N49" i="19" s="1"/>
  <c r="H49" i="19"/>
  <c r="G49" i="19"/>
  <c r="I40" i="19"/>
  <c r="H40" i="19"/>
  <c r="M40" i="19" s="1"/>
  <c r="G40" i="19"/>
  <c r="L40" i="19" s="1"/>
  <c r="I38" i="19"/>
  <c r="H38" i="19"/>
  <c r="M38" i="19" s="1"/>
  <c r="G38" i="19"/>
  <c r="L38" i="19" s="1"/>
  <c r="I32" i="19"/>
  <c r="N32" i="19" s="1"/>
  <c r="H32" i="19"/>
  <c r="M32" i="19" s="1"/>
  <c r="G32" i="19"/>
  <c r="L32" i="19" s="1"/>
  <c r="I30" i="19"/>
  <c r="H30" i="19"/>
  <c r="G30" i="19"/>
  <c r="I27" i="19"/>
  <c r="H27" i="19"/>
  <c r="G27" i="19"/>
  <c r="L27" i="19" s="1"/>
  <c r="I26" i="19"/>
  <c r="H26" i="19"/>
  <c r="G26" i="19"/>
  <c r="I25" i="19"/>
  <c r="N25" i="19" s="1"/>
  <c r="H25" i="19"/>
  <c r="G25" i="19"/>
  <c r="I23" i="19"/>
  <c r="H23" i="19"/>
  <c r="M23" i="19" s="1"/>
  <c r="G23" i="19"/>
  <c r="L23" i="19" s="1"/>
  <c r="I22" i="19"/>
  <c r="H22" i="19"/>
  <c r="G22" i="19"/>
  <c r="I20" i="19"/>
  <c r="H20" i="19"/>
  <c r="G20" i="19"/>
  <c r="L20" i="19" s="1"/>
  <c r="I19" i="19"/>
  <c r="H19" i="19"/>
  <c r="G19" i="19"/>
  <c r="I18" i="19"/>
  <c r="H18" i="19"/>
  <c r="G18" i="19"/>
  <c r="I17" i="19"/>
  <c r="H17" i="19"/>
  <c r="M17" i="19" s="1"/>
  <c r="G17" i="19"/>
  <c r="I16" i="19"/>
  <c r="H16" i="19"/>
  <c r="G16" i="19"/>
  <c r="I15" i="19"/>
  <c r="H15" i="19"/>
  <c r="G15" i="19"/>
  <c r="L15" i="19" s="1"/>
  <c r="I14" i="19"/>
  <c r="N14" i="19" s="1"/>
  <c r="H14" i="19"/>
  <c r="G14" i="19"/>
  <c r="L14" i="19" s="1"/>
  <c r="I13" i="19"/>
  <c r="N13" i="19" s="1"/>
  <c r="H13" i="19"/>
  <c r="M13" i="19" s="1"/>
  <c r="G13" i="19"/>
  <c r="I11" i="19"/>
  <c r="H11" i="19"/>
  <c r="M11" i="19" s="1"/>
  <c r="G11" i="19"/>
  <c r="L11" i="19" s="1"/>
  <c r="I9" i="19"/>
  <c r="H9" i="19"/>
  <c r="G9" i="19"/>
  <c r="L9" i="19" s="1"/>
  <c r="I8" i="19"/>
  <c r="H8" i="19"/>
  <c r="G8" i="19"/>
  <c r="I5" i="19"/>
  <c r="H5" i="19"/>
  <c r="G5" i="19"/>
  <c r="I51" i="19"/>
  <c r="H51" i="19"/>
  <c r="M51" i="19" s="1"/>
  <c r="G51" i="19"/>
  <c r="I50" i="19"/>
  <c r="H50" i="19"/>
  <c r="G50" i="19"/>
  <c r="L50" i="19" s="1"/>
  <c r="I48" i="19"/>
  <c r="H48" i="19"/>
  <c r="G48" i="19"/>
  <c r="I47" i="19"/>
  <c r="H47" i="19"/>
  <c r="G47" i="19"/>
  <c r="L47" i="19" s="1"/>
  <c r="I46" i="19"/>
  <c r="N46" i="19" s="1"/>
  <c r="H46" i="19"/>
  <c r="G46" i="19"/>
  <c r="I45" i="19"/>
  <c r="H45" i="19"/>
  <c r="G45" i="19"/>
  <c r="I44" i="19"/>
  <c r="H44" i="19"/>
  <c r="M44" i="19" s="1"/>
  <c r="G44" i="19"/>
  <c r="L44" i="19" s="1"/>
  <c r="I43" i="19"/>
  <c r="H43" i="19"/>
  <c r="G43" i="19"/>
  <c r="I42" i="19"/>
  <c r="N42" i="19" s="1"/>
  <c r="H42" i="19"/>
  <c r="G42" i="19"/>
  <c r="I41" i="19"/>
  <c r="N41" i="19" s="1"/>
  <c r="H41" i="19"/>
  <c r="M41" i="19" s="1"/>
  <c r="G41" i="19"/>
  <c r="I39" i="19"/>
  <c r="H39" i="19"/>
  <c r="G39" i="19"/>
  <c r="L39" i="19" s="1"/>
  <c r="I37" i="19"/>
  <c r="H37" i="19"/>
  <c r="G37" i="19"/>
  <c r="L37" i="19" s="1"/>
  <c r="I36" i="19"/>
  <c r="H36" i="19"/>
  <c r="G36" i="19"/>
  <c r="L36" i="19" s="1"/>
  <c r="I35" i="19"/>
  <c r="N35" i="19" s="1"/>
  <c r="H35" i="19"/>
  <c r="G35" i="19"/>
  <c r="I33" i="19"/>
  <c r="H33" i="19"/>
  <c r="G33" i="19"/>
  <c r="L33" i="19" s="1"/>
  <c r="I31" i="19"/>
  <c r="H31" i="19"/>
  <c r="G31" i="19"/>
  <c r="L31" i="19" s="1"/>
  <c r="I29" i="19"/>
  <c r="H29" i="19"/>
  <c r="M29" i="19" s="1"/>
  <c r="G29" i="19"/>
  <c r="I28" i="19"/>
  <c r="H28" i="19"/>
  <c r="G28" i="19"/>
  <c r="L28" i="19" s="1"/>
  <c r="I24" i="19"/>
  <c r="H24" i="19"/>
  <c r="G24" i="19"/>
  <c r="L24" i="19" s="1"/>
  <c r="I21" i="19"/>
  <c r="H21" i="19"/>
  <c r="G21" i="19"/>
  <c r="I12" i="19"/>
  <c r="H12" i="19"/>
  <c r="M12" i="19" s="1"/>
  <c r="G12" i="19"/>
  <c r="L12" i="19" s="1"/>
  <c r="I10" i="19"/>
  <c r="H10" i="19"/>
  <c r="G10" i="19"/>
  <c r="L10" i="19" s="1"/>
  <c r="I7" i="19"/>
  <c r="N7" i="19" s="1"/>
  <c r="H7" i="19"/>
  <c r="G7" i="19"/>
  <c r="L7" i="19" s="1"/>
  <c r="I6" i="19"/>
  <c r="H6" i="19"/>
  <c r="G6" i="19"/>
  <c r="L6" i="19" s="1"/>
  <c r="I4" i="19"/>
  <c r="H4" i="19"/>
  <c r="G4" i="19"/>
  <c r="L4" i="19" s="1"/>
  <c r="N43" i="13"/>
  <c r="M34" i="13"/>
  <c r="M29" i="13"/>
  <c r="L29" i="13"/>
  <c r="N25" i="13"/>
  <c r="M25" i="13"/>
  <c r="M23" i="13"/>
  <c r="M42" i="13"/>
  <c r="L42" i="13"/>
  <c r="N38" i="13"/>
  <c r="M28" i="13"/>
  <c r="L28" i="13"/>
  <c r="M24" i="13"/>
  <c r="N20" i="13"/>
  <c r="M15" i="13"/>
  <c r="N4" i="13"/>
  <c r="M4" i="13"/>
  <c r="L4" i="13"/>
  <c r="J53" i="19"/>
  <c r="K53" i="19"/>
  <c r="N49" i="13"/>
  <c r="N48" i="13"/>
  <c r="M48" i="13"/>
  <c r="M47" i="13"/>
  <c r="L47" i="13"/>
  <c r="L46" i="13"/>
  <c r="N45" i="13"/>
  <c r="N44" i="13"/>
  <c r="M44" i="13"/>
  <c r="N42" i="13"/>
  <c r="N41" i="13"/>
  <c r="M41" i="13"/>
  <c r="L41" i="13"/>
  <c r="N40" i="13"/>
  <c r="N39" i="13"/>
  <c r="M39" i="13"/>
  <c r="L39" i="13"/>
  <c r="M38" i="13"/>
  <c r="L38" i="13"/>
  <c r="N37" i="13"/>
  <c r="L37" i="13"/>
  <c r="N35" i="13"/>
  <c r="M35" i="13"/>
  <c r="N34" i="13"/>
  <c r="N33" i="13"/>
  <c r="M33" i="13"/>
  <c r="N32" i="13"/>
  <c r="M32" i="13"/>
  <c r="L32" i="13"/>
  <c r="M31" i="13"/>
  <c r="L31" i="13"/>
  <c r="N30" i="13"/>
  <c r="L30" i="13"/>
  <c r="N29" i="13"/>
  <c r="N28" i="13"/>
  <c r="N27" i="13"/>
  <c r="M27" i="13"/>
  <c r="M26" i="13"/>
  <c r="L26" i="13"/>
  <c r="N24" i="13"/>
  <c r="N23" i="13"/>
  <c r="L23" i="13"/>
  <c r="N22" i="13"/>
  <c r="M22" i="13"/>
  <c r="N21" i="13"/>
  <c r="M21" i="13"/>
  <c r="L21" i="13"/>
  <c r="M20" i="13"/>
  <c r="L19" i="13"/>
  <c r="N18" i="13"/>
  <c r="N17" i="13"/>
  <c r="M17" i="13"/>
  <c r="L17" i="13"/>
  <c r="M16" i="13"/>
  <c r="L16" i="13"/>
  <c r="N15" i="13"/>
  <c r="L15" i="13"/>
  <c r="N13" i="13"/>
  <c r="M13" i="13"/>
  <c r="M12" i="13"/>
  <c r="L12" i="13"/>
  <c r="N11" i="13"/>
  <c r="M11" i="13"/>
  <c r="N10" i="13"/>
  <c r="M10" i="13"/>
  <c r="L10" i="13"/>
  <c r="N9" i="13"/>
  <c r="M9" i="13"/>
  <c r="L9" i="13"/>
  <c r="N8" i="13"/>
  <c r="M8" i="13"/>
  <c r="L8" i="13"/>
  <c r="N7" i="13"/>
  <c r="M7" i="13"/>
  <c r="L7" i="13"/>
  <c r="N6" i="13"/>
  <c r="M6" i="13"/>
  <c r="L6" i="13"/>
  <c r="N5" i="13"/>
  <c r="M5" i="13"/>
  <c r="L5" i="13"/>
  <c r="N52" i="19"/>
  <c r="M52" i="19"/>
  <c r="N30" i="19"/>
  <c r="M30" i="19"/>
  <c r="L30" i="19"/>
  <c r="N27" i="19"/>
  <c r="M27" i="19"/>
  <c r="L26" i="19"/>
  <c r="M22" i="19"/>
  <c r="L22" i="19"/>
  <c r="N19" i="19"/>
  <c r="L19" i="19"/>
  <c r="N18" i="19"/>
  <c r="N15" i="19"/>
  <c r="M14" i="19"/>
  <c r="M8" i="19"/>
  <c r="L8" i="19"/>
  <c r="N48" i="19"/>
  <c r="L48" i="19"/>
  <c r="M47" i="19"/>
  <c r="M45" i="19"/>
  <c r="N44" i="19"/>
  <c r="M43" i="19"/>
  <c r="L43" i="19"/>
  <c r="M39" i="19"/>
  <c r="M37" i="19"/>
  <c r="N36" i="19"/>
  <c r="N33" i="19"/>
  <c r="M33" i="19"/>
  <c r="M28" i="19"/>
  <c r="M21" i="19"/>
  <c r="L21" i="19"/>
  <c r="N10" i="19"/>
  <c r="M10" i="19"/>
  <c r="M7" i="19"/>
  <c r="N6" i="19"/>
  <c r="L29" i="19"/>
  <c r="N51" i="19"/>
  <c r="N50" i="19"/>
  <c r="N47" i="19"/>
  <c r="N45" i="19"/>
  <c r="N43" i="19"/>
  <c r="N40" i="19"/>
  <c r="N39" i="19"/>
  <c r="N38" i="19"/>
  <c r="N37" i="19"/>
  <c r="N31" i="19"/>
  <c r="N29" i="19"/>
  <c r="N28" i="19"/>
  <c r="N26" i="19"/>
  <c r="N24" i="19"/>
  <c r="N23" i="19"/>
  <c r="N22" i="19"/>
  <c r="N21" i="19"/>
  <c r="N20" i="19"/>
  <c r="N17" i="19"/>
  <c r="N16" i="19"/>
  <c r="N12" i="19"/>
  <c r="N11" i="19"/>
  <c r="N9" i="19"/>
  <c r="N8" i="19"/>
  <c r="N5" i="19"/>
  <c r="M50" i="19"/>
  <c r="M49" i="19"/>
  <c r="M48" i="19"/>
  <c r="M46" i="19"/>
  <c r="M42" i="19"/>
  <c r="M36" i="19"/>
  <c r="M35" i="19"/>
  <c r="M31" i="19"/>
  <c r="M26" i="19"/>
  <c r="M25" i="19"/>
  <c r="M24" i="19"/>
  <c r="M20" i="19"/>
  <c r="M19" i="19"/>
  <c r="M18" i="19"/>
  <c r="M16" i="19"/>
  <c r="M15" i="19"/>
  <c r="M9" i="19"/>
  <c r="M6" i="19"/>
  <c r="M5" i="19"/>
  <c r="M4" i="19"/>
  <c r="L52" i="19"/>
  <c r="L51" i="19"/>
  <c r="L49" i="19"/>
  <c r="L46" i="19"/>
  <c r="L45" i="19"/>
  <c r="L42" i="19"/>
  <c r="L41" i="19"/>
  <c r="L35" i="19"/>
  <c r="L25" i="19"/>
  <c r="L18" i="19"/>
  <c r="L17" i="19"/>
  <c r="L16" i="19"/>
  <c r="L13" i="19"/>
  <c r="L5" i="19"/>
  <c r="N35" i="11"/>
  <c r="N34" i="11"/>
  <c r="N33" i="11"/>
  <c r="N32" i="11"/>
  <c r="N31" i="11"/>
  <c r="N28" i="11"/>
  <c r="N27" i="11"/>
  <c r="N26" i="11"/>
  <c r="N25" i="11"/>
  <c r="N24" i="11"/>
  <c r="N23" i="11"/>
  <c r="N22" i="11"/>
  <c r="N21" i="11"/>
  <c r="N20" i="11"/>
  <c r="N18" i="11"/>
  <c r="N17" i="11"/>
  <c r="N16" i="11"/>
  <c r="N15" i="11"/>
  <c r="N14" i="11"/>
  <c r="N13" i="11"/>
  <c r="N12" i="11"/>
  <c r="N11" i="11"/>
  <c r="N10" i="11"/>
  <c r="N9" i="11"/>
  <c r="N8" i="11"/>
  <c r="N7" i="11"/>
  <c r="N6" i="11"/>
  <c r="N5" i="11"/>
  <c r="N4" i="11"/>
  <c r="N36" i="11" l="1"/>
  <c r="L21" i="18"/>
  <c r="M21" i="18"/>
  <c r="N21" i="18"/>
  <c r="N4" i="19"/>
  <c r="M53" i="19"/>
  <c r="N53" i="19"/>
  <c r="L53" i="19"/>
  <c r="M35" i="11"/>
  <c r="M34" i="11"/>
  <c r="M33" i="11"/>
  <c r="M32" i="11"/>
  <c r="M31" i="11"/>
  <c r="M28" i="11"/>
  <c r="M27" i="11"/>
  <c r="M26" i="11"/>
  <c r="M25" i="11"/>
  <c r="M24" i="11"/>
  <c r="M23" i="11"/>
  <c r="M22" i="11"/>
  <c r="M21" i="11"/>
  <c r="M20" i="11"/>
  <c r="M18" i="11"/>
  <c r="M17" i="11"/>
  <c r="M16" i="11"/>
  <c r="M15" i="11"/>
  <c r="M14" i="11"/>
  <c r="M13" i="11"/>
  <c r="M12" i="11"/>
  <c r="M11" i="11"/>
  <c r="M10" i="11"/>
  <c r="M9" i="11"/>
  <c r="M8" i="11"/>
  <c r="M7" i="11"/>
  <c r="M6" i="11"/>
  <c r="M5" i="11"/>
  <c r="M4" i="11"/>
  <c r="L35" i="11"/>
  <c r="L34" i="11"/>
  <c r="L33" i="11"/>
  <c r="L32" i="11"/>
  <c r="L31" i="11"/>
  <c r="L28" i="11"/>
  <c r="L27" i="11"/>
  <c r="L26" i="11"/>
  <c r="L25" i="11"/>
  <c r="L24" i="11"/>
  <c r="L23" i="11"/>
  <c r="L22" i="11"/>
  <c r="L21" i="11"/>
  <c r="L20" i="11"/>
  <c r="L18" i="11"/>
  <c r="L17" i="11"/>
  <c r="L16" i="11"/>
  <c r="L15" i="11"/>
  <c r="L14" i="11"/>
  <c r="L13" i="11"/>
  <c r="L12" i="11"/>
  <c r="L11" i="11"/>
  <c r="L10" i="11"/>
  <c r="L9" i="11"/>
  <c r="L8" i="11"/>
  <c r="L7" i="11"/>
  <c r="L6" i="11"/>
  <c r="L5" i="11"/>
  <c r="L4" i="11"/>
  <c r="L36" i="11" l="1"/>
  <c r="M36" i="11"/>
  <c r="R29" i="11"/>
  <c r="Q29" i="11"/>
  <c r="U13" i="5"/>
  <c r="T47" i="5"/>
  <c r="T46" i="5"/>
  <c r="T44" i="5"/>
  <c r="T43" i="5"/>
  <c r="T42" i="5"/>
  <c r="T41" i="5"/>
  <c r="T40" i="5"/>
  <c r="T36" i="5"/>
  <c r="T35" i="5"/>
  <c r="T34" i="5"/>
  <c r="T33" i="5"/>
  <c r="T31" i="5"/>
  <c r="T30" i="5"/>
  <c r="T24" i="5"/>
  <c r="T21" i="5"/>
  <c r="T16" i="5"/>
  <c r="T15" i="5"/>
  <c r="T14" i="5"/>
  <c r="T13" i="5"/>
  <c r="T12" i="5"/>
  <c r="T11" i="5"/>
  <c r="T9" i="5"/>
  <c r="T6" i="5"/>
  <c r="T5" i="5"/>
  <c r="S47" i="5"/>
  <c r="S46" i="5"/>
  <c r="S44" i="5"/>
  <c r="S43" i="5"/>
  <c r="S42" i="5"/>
  <c r="S41" i="5"/>
  <c r="S40" i="5"/>
  <c r="S36" i="5"/>
  <c r="S35" i="5"/>
  <c r="S34" i="5"/>
  <c r="S33" i="5"/>
  <c r="S31" i="5"/>
  <c r="S30" i="5"/>
  <c r="S24" i="5"/>
  <c r="S21" i="5"/>
  <c r="S16" i="5"/>
  <c r="S15" i="5"/>
  <c r="S14" i="5"/>
  <c r="S13" i="5"/>
  <c r="S12" i="5"/>
  <c r="S11" i="5"/>
  <c r="S9" i="5"/>
  <c r="S6" i="5"/>
  <c r="S5" i="5"/>
  <c r="T27" i="20"/>
  <c r="T24" i="20"/>
  <c r="T23" i="20"/>
  <c r="T19" i="20"/>
  <c r="T18" i="20"/>
  <c r="T15" i="20"/>
  <c r="T12" i="20"/>
  <c r="T11" i="20"/>
  <c r="T10" i="20"/>
  <c r="T9" i="20"/>
  <c r="S27" i="20"/>
  <c r="S24" i="20"/>
  <c r="S23" i="20"/>
  <c r="S19" i="20"/>
  <c r="S18" i="20"/>
  <c r="S15" i="20"/>
  <c r="S12" i="20"/>
  <c r="S11" i="20"/>
  <c r="S10" i="20"/>
  <c r="S9" i="20"/>
  <c r="P29" i="11" l="1"/>
  <c r="R47" i="5"/>
  <c r="R46" i="5"/>
  <c r="R44" i="5"/>
  <c r="R43" i="5"/>
  <c r="R42" i="5"/>
  <c r="R41" i="5"/>
  <c r="R40" i="5"/>
  <c r="R36" i="5"/>
  <c r="R35" i="5"/>
  <c r="R34" i="5"/>
  <c r="R33" i="5"/>
  <c r="R31" i="5"/>
  <c r="R30" i="5"/>
  <c r="R24" i="5"/>
  <c r="R21" i="5"/>
  <c r="R16" i="5"/>
  <c r="R15" i="5"/>
  <c r="R14" i="5"/>
  <c r="R13" i="5"/>
  <c r="R12" i="5"/>
  <c r="R11" i="5"/>
  <c r="R9" i="5"/>
  <c r="R6" i="5"/>
  <c r="R5" i="5"/>
  <c r="R27" i="20"/>
  <c r="R24" i="20"/>
  <c r="R23" i="20"/>
  <c r="R19" i="20"/>
  <c r="R18" i="20"/>
  <c r="R15" i="20"/>
  <c r="R12" i="20"/>
  <c r="R11" i="20"/>
  <c r="R10" i="20"/>
  <c r="R9" i="20"/>
  <c r="O35" i="11" l="1"/>
  <c r="O34" i="11"/>
  <c r="O33" i="11"/>
  <c r="O32" i="11"/>
  <c r="O31" i="11"/>
  <c r="O28" i="11"/>
  <c r="O27" i="11"/>
  <c r="O26" i="11"/>
  <c r="O25" i="11"/>
  <c r="O24" i="11"/>
  <c r="O23" i="11"/>
  <c r="O22" i="11"/>
  <c r="O21" i="11"/>
  <c r="O20" i="11"/>
  <c r="O18" i="11"/>
  <c r="O17" i="11"/>
  <c r="O16" i="11"/>
  <c r="O15" i="11"/>
  <c r="O14" i="11"/>
  <c r="O13" i="11"/>
  <c r="O12" i="11"/>
  <c r="O11" i="11"/>
  <c r="O10" i="11"/>
  <c r="O9" i="11"/>
  <c r="O8" i="11"/>
  <c r="O7" i="11"/>
  <c r="O6" i="11"/>
  <c r="O5" i="11"/>
  <c r="O4" i="11"/>
  <c r="O14" i="10"/>
  <c r="O13" i="10"/>
  <c r="O12" i="10"/>
  <c r="O11" i="10"/>
  <c r="O10" i="10"/>
  <c r="O9" i="10"/>
  <c r="O8" i="10"/>
  <c r="O7" i="10"/>
  <c r="O6" i="10"/>
  <c r="O5" i="10"/>
  <c r="O4" i="10"/>
  <c r="Q45" i="5"/>
  <c r="Q39" i="5"/>
  <c r="Q38" i="5"/>
  <c r="Q37" i="5"/>
  <c r="Q29" i="5"/>
  <c r="Q28" i="5"/>
  <c r="Q27" i="5"/>
  <c r="Q26" i="5"/>
  <c r="Q25" i="5"/>
  <c r="Q23" i="5"/>
  <c r="Q22" i="5"/>
  <c r="Q20" i="5"/>
  <c r="Q18" i="5"/>
  <c r="Q17" i="5"/>
  <c r="Q10" i="5"/>
  <c r="Q8" i="5"/>
  <c r="Q7" i="5"/>
  <c r="Q4" i="5"/>
  <c r="Q32" i="20"/>
  <c r="Q31" i="20"/>
  <c r="Q30" i="20"/>
  <c r="Q29" i="20"/>
  <c r="Q28" i="20"/>
  <c r="Q26" i="20"/>
  <c r="Q25" i="20"/>
  <c r="Q22" i="20"/>
  <c r="Q21" i="20"/>
  <c r="Q20" i="20"/>
  <c r="Q17" i="20"/>
  <c r="Q16" i="20"/>
  <c r="Q14" i="20"/>
  <c r="Q13" i="20"/>
  <c r="Q8" i="20"/>
  <c r="Q7" i="20"/>
  <c r="Q6" i="20"/>
  <c r="Q5" i="20"/>
  <c r="Q4" i="20"/>
  <c r="Q5" i="10" l="1"/>
  <c r="P5" i="10"/>
  <c r="R5" i="10" s="1"/>
  <c r="Q13" i="10"/>
  <c r="P13" i="10"/>
  <c r="Q6" i="10"/>
  <c r="P6" i="10"/>
  <c r="Q10" i="10"/>
  <c r="P10" i="10"/>
  <c r="Q14" i="10"/>
  <c r="P14" i="10"/>
  <c r="R14" i="10" s="1"/>
  <c r="Q7" i="10"/>
  <c r="P7" i="10"/>
  <c r="Q11" i="10"/>
  <c r="P11" i="10"/>
  <c r="R11" i="10" s="1"/>
  <c r="O15" i="10"/>
  <c r="Q8" i="10"/>
  <c r="P8" i="10"/>
  <c r="Q12" i="10"/>
  <c r="P12" i="10"/>
  <c r="R12" i="10" s="1"/>
  <c r="Q9" i="10"/>
  <c r="P9" i="10"/>
  <c r="R9" i="10" s="1"/>
  <c r="Q4" i="10"/>
  <c r="P4" i="10"/>
  <c r="S45" i="5"/>
  <c r="R45" i="5"/>
  <c r="T45" i="5" s="1"/>
  <c r="S38" i="5"/>
  <c r="R38" i="5"/>
  <c r="S39" i="5"/>
  <c r="R39" i="5"/>
  <c r="S37" i="5"/>
  <c r="R37" i="5"/>
  <c r="S28" i="5"/>
  <c r="R28" i="5"/>
  <c r="S25" i="5"/>
  <c r="R25" i="5"/>
  <c r="S29" i="5"/>
  <c r="R29" i="5"/>
  <c r="T29" i="5" s="1"/>
  <c r="S27" i="5"/>
  <c r="R27" i="5"/>
  <c r="S26" i="5"/>
  <c r="R26" i="5"/>
  <c r="S22" i="5"/>
  <c r="R22" i="5"/>
  <c r="S23" i="5"/>
  <c r="R23" i="5"/>
  <c r="S20" i="5"/>
  <c r="R20" i="5"/>
  <c r="S18" i="5"/>
  <c r="R18" i="5"/>
  <c r="S17" i="5"/>
  <c r="R17" i="5"/>
  <c r="S10" i="5"/>
  <c r="R10" i="5"/>
  <c r="S7" i="5"/>
  <c r="R7" i="5"/>
  <c r="T7" i="5" s="1"/>
  <c r="S8" i="5"/>
  <c r="R8" i="5"/>
  <c r="S4" i="5"/>
  <c r="R4" i="5"/>
  <c r="S29" i="20"/>
  <c r="R29" i="20"/>
  <c r="T29" i="20" s="1"/>
  <c r="S30" i="20"/>
  <c r="R30" i="20"/>
  <c r="S31" i="20"/>
  <c r="R31" i="20"/>
  <c r="T31" i="20" s="1"/>
  <c r="S28" i="20"/>
  <c r="R28" i="20"/>
  <c r="S32" i="20"/>
  <c r="R32" i="20"/>
  <c r="T32" i="20" s="1"/>
  <c r="S26" i="20"/>
  <c r="R26" i="20"/>
  <c r="S25" i="20"/>
  <c r="R25" i="20"/>
  <c r="S20" i="20"/>
  <c r="R20" i="20"/>
  <c r="S21" i="20"/>
  <c r="R21" i="20"/>
  <c r="S22" i="20"/>
  <c r="R22" i="20"/>
  <c r="S16" i="20"/>
  <c r="R16" i="20"/>
  <c r="T16" i="20" s="1"/>
  <c r="S17" i="20"/>
  <c r="R17" i="20"/>
  <c r="Q33" i="20"/>
  <c r="S13" i="20"/>
  <c r="R13" i="20"/>
  <c r="T13" i="20" s="1"/>
  <c r="S14" i="20"/>
  <c r="R14" i="20"/>
  <c r="S8" i="20"/>
  <c r="R8" i="20"/>
  <c r="T8" i="20" s="1"/>
  <c r="S7" i="20"/>
  <c r="R7" i="20"/>
  <c r="S5" i="20"/>
  <c r="R5" i="20"/>
  <c r="T5" i="20" s="1"/>
  <c r="S6" i="20"/>
  <c r="R6" i="20"/>
  <c r="S4" i="20"/>
  <c r="R4" i="20"/>
  <c r="Q34" i="11"/>
  <c r="P34" i="11"/>
  <c r="Q32" i="11"/>
  <c r="P32" i="11"/>
  <c r="Q33" i="11"/>
  <c r="P33" i="11"/>
  <c r="Q31" i="11"/>
  <c r="P31" i="11"/>
  <c r="Q35" i="11"/>
  <c r="P35" i="11"/>
  <c r="Q23" i="11"/>
  <c r="P23" i="11"/>
  <c r="Q20" i="11"/>
  <c r="P20" i="11"/>
  <c r="Q24" i="11"/>
  <c r="P24" i="11"/>
  <c r="Q22" i="11"/>
  <c r="P22" i="11"/>
  <c r="Q26" i="11"/>
  <c r="P26" i="11"/>
  <c r="Q27" i="11"/>
  <c r="P27" i="11"/>
  <c r="Q28" i="11"/>
  <c r="P28" i="11"/>
  <c r="Q21" i="11"/>
  <c r="P21" i="11"/>
  <c r="Q25" i="11"/>
  <c r="P25" i="11"/>
  <c r="Q11" i="11"/>
  <c r="P11" i="11"/>
  <c r="Q8" i="11"/>
  <c r="P8" i="11"/>
  <c r="Q16" i="11"/>
  <c r="P16" i="11"/>
  <c r="R16" i="11" s="1"/>
  <c r="Q6" i="11"/>
  <c r="P6" i="11"/>
  <c r="Q10" i="11"/>
  <c r="P10" i="11"/>
  <c r="Q14" i="11"/>
  <c r="P14" i="11"/>
  <c r="Q18" i="11"/>
  <c r="P18" i="11"/>
  <c r="Q7" i="11"/>
  <c r="P7" i="11"/>
  <c r="Q15" i="11"/>
  <c r="P15" i="11"/>
  <c r="R15" i="11" s="1"/>
  <c r="Q12" i="11"/>
  <c r="P12" i="11"/>
  <c r="Q5" i="11"/>
  <c r="P5" i="11"/>
  <c r="Q9" i="11"/>
  <c r="P9" i="11"/>
  <c r="Q13" i="11"/>
  <c r="P13" i="11"/>
  <c r="R13" i="11" s="1"/>
  <c r="Q17" i="11"/>
  <c r="P17" i="11"/>
  <c r="O36" i="11"/>
  <c r="Q4" i="11"/>
  <c r="P4" i="11"/>
  <c r="Q9" i="20"/>
  <c r="Q10" i="20"/>
  <c r="Q11" i="20"/>
  <c r="Q12" i="20"/>
  <c r="Q15" i="20"/>
  <c r="Q18" i="20"/>
  <c r="Q19" i="20"/>
  <c r="Q23" i="20"/>
  <c r="Q24" i="20"/>
  <c r="Q27" i="20"/>
  <c r="O20" i="18"/>
  <c r="O19" i="18"/>
  <c r="O18" i="18"/>
  <c r="O17" i="18"/>
  <c r="O16" i="18"/>
  <c r="O15" i="18"/>
  <c r="O14" i="18"/>
  <c r="O13" i="18"/>
  <c r="O12" i="18"/>
  <c r="O11" i="18"/>
  <c r="O10" i="18"/>
  <c r="O9" i="18"/>
  <c r="O8" i="18"/>
  <c r="O7" i="18"/>
  <c r="O6" i="18"/>
  <c r="O5" i="18"/>
  <c r="O4" i="18"/>
  <c r="O49" i="13"/>
  <c r="O48" i="13"/>
  <c r="O47" i="13"/>
  <c r="O46" i="13"/>
  <c r="O45" i="13"/>
  <c r="O44" i="13"/>
  <c r="O43" i="13"/>
  <c r="O42" i="13"/>
  <c r="O41" i="13"/>
  <c r="O40" i="13"/>
  <c r="O39" i="13"/>
  <c r="O38" i="13"/>
  <c r="O37" i="13"/>
  <c r="O36" i="13"/>
  <c r="O35" i="13"/>
  <c r="O34" i="13"/>
  <c r="O33" i="13"/>
  <c r="O32" i="13"/>
  <c r="O31" i="13"/>
  <c r="O30" i="13"/>
  <c r="O29" i="13"/>
  <c r="O28" i="13"/>
  <c r="O27" i="13"/>
  <c r="O26" i="13"/>
  <c r="O25" i="13"/>
  <c r="O24" i="13"/>
  <c r="O23" i="13"/>
  <c r="O22" i="13"/>
  <c r="O21" i="13"/>
  <c r="O20" i="13"/>
  <c r="O19" i="13"/>
  <c r="O18" i="13"/>
  <c r="O17" i="13"/>
  <c r="O16" i="13"/>
  <c r="O15" i="13"/>
  <c r="O14" i="13"/>
  <c r="O13" i="13"/>
  <c r="O12" i="13"/>
  <c r="O11" i="13"/>
  <c r="O10" i="13"/>
  <c r="O9" i="13"/>
  <c r="O8" i="13"/>
  <c r="O7" i="13"/>
  <c r="O6" i="13"/>
  <c r="O5" i="13"/>
  <c r="O4" i="13"/>
  <c r="R35" i="11" l="1"/>
  <c r="R33" i="11"/>
  <c r="R34" i="11"/>
  <c r="R18" i="11"/>
  <c r="R5" i="11"/>
  <c r="R10" i="11"/>
  <c r="R11" i="11"/>
  <c r="R8" i="10"/>
  <c r="R6" i="10"/>
  <c r="Q15" i="10"/>
  <c r="R7" i="10"/>
  <c r="R10" i="10"/>
  <c r="R13" i="10"/>
  <c r="R4" i="10"/>
  <c r="P15" i="10"/>
  <c r="T37" i="5"/>
  <c r="T38" i="5"/>
  <c r="T20" i="5"/>
  <c r="T22" i="5"/>
  <c r="T10" i="5"/>
  <c r="T18" i="5"/>
  <c r="T26" i="5"/>
  <c r="T28" i="5"/>
  <c r="T39" i="5"/>
  <c r="T27" i="5"/>
  <c r="T25" i="5"/>
  <c r="T23" i="5"/>
  <c r="T17" i="5"/>
  <c r="T8" i="5"/>
  <c r="T4" i="5"/>
  <c r="T22" i="20"/>
  <c r="T20" i="20"/>
  <c r="T26" i="20"/>
  <c r="T28" i="20"/>
  <c r="T30" i="20"/>
  <c r="T25" i="20"/>
  <c r="T21" i="20"/>
  <c r="T17" i="20"/>
  <c r="T14" i="20"/>
  <c r="T6" i="20"/>
  <c r="T7" i="20"/>
  <c r="S33" i="20"/>
  <c r="T4" i="20"/>
  <c r="R33" i="20"/>
  <c r="Q11" i="18"/>
  <c r="P11" i="18"/>
  <c r="Q19" i="18"/>
  <c r="P19" i="18"/>
  <c r="Q12" i="18"/>
  <c r="P12" i="18"/>
  <c r="Q20" i="18"/>
  <c r="P20" i="18"/>
  <c r="Q9" i="18"/>
  <c r="P9" i="18"/>
  <c r="Q6" i="18"/>
  <c r="P6" i="18"/>
  <c r="Q10" i="18"/>
  <c r="P10" i="18"/>
  <c r="Q14" i="18"/>
  <c r="P14" i="18"/>
  <c r="Q18" i="18"/>
  <c r="P18" i="18"/>
  <c r="Q7" i="18"/>
  <c r="P7" i="18"/>
  <c r="Q15" i="18"/>
  <c r="P15" i="18"/>
  <c r="Q8" i="18"/>
  <c r="P8" i="18"/>
  <c r="Q16" i="18"/>
  <c r="P16" i="18"/>
  <c r="Q5" i="18"/>
  <c r="P5" i="18"/>
  <c r="Q13" i="18"/>
  <c r="P13" i="18"/>
  <c r="Q17" i="18"/>
  <c r="P17" i="18"/>
  <c r="Q4" i="18"/>
  <c r="P4" i="18"/>
  <c r="O21" i="18"/>
  <c r="Q9" i="13"/>
  <c r="P9" i="13"/>
  <c r="R9" i="13" s="1"/>
  <c r="Q17" i="13"/>
  <c r="P17" i="13"/>
  <c r="Q25" i="13"/>
  <c r="P25" i="13"/>
  <c r="R25" i="13" s="1"/>
  <c r="Q33" i="13"/>
  <c r="P33" i="13"/>
  <c r="Q41" i="13"/>
  <c r="P41" i="13"/>
  <c r="Q45" i="13"/>
  <c r="P45" i="13"/>
  <c r="Q10" i="13"/>
  <c r="P10" i="13"/>
  <c r="R10" i="13" s="1"/>
  <c r="Q18" i="13"/>
  <c r="P18" i="13"/>
  <c r="Q26" i="13"/>
  <c r="P26" i="13"/>
  <c r="R26" i="13" s="1"/>
  <c r="Q34" i="13"/>
  <c r="P34" i="13"/>
  <c r="Q42" i="13"/>
  <c r="P42" i="13"/>
  <c r="R42" i="13" s="1"/>
  <c r="Q11" i="13"/>
  <c r="P11" i="13"/>
  <c r="Q19" i="13"/>
  <c r="P19" i="13"/>
  <c r="R19" i="13" s="1"/>
  <c r="Q27" i="13"/>
  <c r="P27" i="13"/>
  <c r="Q8" i="13"/>
  <c r="P8" i="13"/>
  <c r="R8" i="13" s="1"/>
  <c r="Q12" i="13"/>
  <c r="P12" i="13"/>
  <c r="Q16" i="13"/>
  <c r="P16" i="13"/>
  <c r="R16" i="13" s="1"/>
  <c r="Q20" i="13"/>
  <c r="P20" i="13"/>
  <c r="Q24" i="13"/>
  <c r="P24" i="13"/>
  <c r="Q28" i="13"/>
  <c r="P28" i="13"/>
  <c r="Q32" i="13"/>
  <c r="P32" i="13"/>
  <c r="R32" i="13" s="1"/>
  <c r="Q36" i="13"/>
  <c r="P36" i="13"/>
  <c r="Q40" i="13"/>
  <c r="P40" i="13"/>
  <c r="R40" i="13" s="1"/>
  <c r="Q44" i="13"/>
  <c r="P44" i="13"/>
  <c r="Q48" i="13"/>
  <c r="P48" i="13"/>
  <c r="R48" i="13" s="1"/>
  <c r="Q5" i="13"/>
  <c r="P5" i="13"/>
  <c r="Q13" i="13"/>
  <c r="P13" i="13"/>
  <c r="R13" i="13" s="1"/>
  <c r="Q21" i="13"/>
  <c r="P21" i="13"/>
  <c r="Q29" i="13"/>
  <c r="P29" i="13"/>
  <c r="Q37" i="13"/>
  <c r="P37" i="13"/>
  <c r="Q49" i="13"/>
  <c r="P49" i="13"/>
  <c r="R49" i="13" s="1"/>
  <c r="Q6" i="13"/>
  <c r="P6" i="13"/>
  <c r="Q14" i="13"/>
  <c r="P14" i="13"/>
  <c r="R14" i="13" s="1"/>
  <c r="Q22" i="13"/>
  <c r="P22" i="13"/>
  <c r="Q30" i="13"/>
  <c r="P30" i="13"/>
  <c r="R30" i="13" s="1"/>
  <c r="Q38" i="13"/>
  <c r="P38" i="13"/>
  <c r="Q46" i="13"/>
  <c r="P46" i="13"/>
  <c r="R46" i="13" s="1"/>
  <c r="Q7" i="13"/>
  <c r="P7" i="13"/>
  <c r="Q15" i="13"/>
  <c r="P15" i="13"/>
  <c r="R15" i="13" s="1"/>
  <c r="Q23" i="13"/>
  <c r="P23" i="13"/>
  <c r="Q31" i="13"/>
  <c r="P31" i="13"/>
  <c r="R31" i="13" s="1"/>
  <c r="Q35" i="13"/>
  <c r="P35" i="13"/>
  <c r="Q39" i="13"/>
  <c r="P39" i="13"/>
  <c r="R39" i="13" s="1"/>
  <c r="Q43" i="13"/>
  <c r="P43" i="13"/>
  <c r="Q47" i="13"/>
  <c r="P47" i="13"/>
  <c r="R47" i="13" s="1"/>
  <c r="Q4" i="13"/>
  <c r="P4" i="13"/>
  <c r="O50" i="13"/>
  <c r="R25" i="11"/>
  <c r="R28" i="11"/>
  <c r="R26" i="11"/>
  <c r="R24" i="11"/>
  <c r="R23" i="11"/>
  <c r="R31" i="11"/>
  <c r="R32" i="11"/>
  <c r="R21" i="11"/>
  <c r="R27" i="11"/>
  <c r="R22" i="11"/>
  <c r="R20" i="11"/>
  <c r="Q36" i="11"/>
  <c r="R17" i="11"/>
  <c r="R9" i="11"/>
  <c r="R12" i="11"/>
  <c r="R7" i="11"/>
  <c r="R14" i="11"/>
  <c r="R6" i="11"/>
  <c r="R8" i="11"/>
  <c r="R4" i="11"/>
  <c r="P36" i="11"/>
  <c r="O52" i="19"/>
  <c r="O51" i="19"/>
  <c r="O50" i="19"/>
  <c r="O49" i="19"/>
  <c r="O48" i="19"/>
  <c r="O47" i="19"/>
  <c r="O46" i="19"/>
  <c r="O45" i="19"/>
  <c r="O44" i="19"/>
  <c r="O43" i="19"/>
  <c r="O42" i="19"/>
  <c r="O41" i="19"/>
  <c r="O40" i="19"/>
  <c r="O39" i="19"/>
  <c r="O38" i="19"/>
  <c r="O37" i="19"/>
  <c r="O36" i="19"/>
  <c r="O35"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 r="O8" i="19"/>
  <c r="O7" i="19"/>
  <c r="O6" i="19"/>
  <c r="O5" i="19"/>
  <c r="O4" i="19"/>
  <c r="R15" i="10" l="1"/>
  <c r="U4" i="5"/>
  <c r="T33" i="20"/>
  <c r="R5" i="18"/>
  <c r="R17" i="18"/>
  <c r="R20" i="18"/>
  <c r="R19" i="18"/>
  <c r="R14" i="18"/>
  <c r="Q21" i="18"/>
  <c r="R8" i="18"/>
  <c r="R7" i="18"/>
  <c r="R6" i="18"/>
  <c r="R13" i="18"/>
  <c r="R16" i="18"/>
  <c r="R15" i="18"/>
  <c r="R18" i="18"/>
  <c r="R10" i="18"/>
  <c r="R9" i="18"/>
  <c r="R12" i="18"/>
  <c r="R11" i="18"/>
  <c r="R4" i="18"/>
  <c r="P21" i="18"/>
  <c r="R41" i="13"/>
  <c r="R29" i="13"/>
  <c r="R24" i="13"/>
  <c r="Q50" i="13"/>
  <c r="R43" i="13"/>
  <c r="R35" i="13"/>
  <c r="R23" i="13"/>
  <c r="R7" i="13"/>
  <c r="R38" i="13"/>
  <c r="R22" i="13"/>
  <c r="R6" i="13"/>
  <c r="R37" i="13"/>
  <c r="R21" i="13"/>
  <c r="R5" i="13"/>
  <c r="R44" i="13"/>
  <c r="R36" i="13"/>
  <c r="R28" i="13"/>
  <c r="R20" i="13"/>
  <c r="R12" i="13"/>
  <c r="R27" i="13"/>
  <c r="R11" i="13"/>
  <c r="R34" i="13"/>
  <c r="R18" i="13"/>
  <c r="R45" i="13"/>
  <c r="R33" i="13"/>
  <c r="R17" i="13"/>
  <c r="R4" i="13"/>
  <c r="P50" i="13"/>
  <c r="Q35" i="19"/>
  <c r="P35" i="19"/>
  <c r="R35" i="19" s="1"/>
  <c r="Q39" i="19"/>
  <c r="P39" i="19"/>
  <c r="Q43" i="19"/>
  <c r="P43" i="19"/>
  <c r="R43" i="19" s="1"/>
  <c r="Q47" i="19"/>
  <c r="P47" i="19"/>
  <c r="Q51" i="19"/>
  <c r="P51" i="19"/>
  <c r="R51" i="19" s="1"/>
  <c r="Q36" i="19"/>
  <c r="P36" i="19"/>
  <c r="Q40" i="19"/>
  <c r="P40" i="19"/>
  <c r="R40" i="19" s="1"/>
  <c r="Q44" i="19"/>
  <c r="P44" i="19"/>
  <c r="Q48" i="19"/>
  <c r="P48" i="19"/>
  <c r="R48" i="19" s="1"/>
  <c r="Q52" i="19"/>
  <c r="P52" i="19"/>
  <c r="Q37" i="19"/>
  <c r="P37" i="19"/>
  <c r="R37" i="19" s="1"/>
  <c r="Q41" i="19"/>
  <c r="P41" i="19"/>
  <c r="Q45" i="19"/>
  <c r="P45" i="19"/>
  <c r="R45" i="19" s="1"/>
  <c r="Q49" i="19"/>
  <c r="P49" i="19"/>
  <c r="Q38" i="19"/>
  <c r="P38" i="19"/>
  <c r="R38" i="19" s="1"/>
  <c r="Q42" i="19"/>
  <c r="P42" i="19"/>
  <c r="Q46" i="19"/>
  <c r="P46" i="19"/>
  <c r="R46" i="19" s="1"/>
  <c r="Q50" i="19"/>
  <c r="P50" i="19"/>
  <c r="Q10" i="19"/>
  <c r="P10" i="19"/>
  <c r="R10" i="19" s="1"/>
  <c r="Q18" i="19"/>
  <c r="P18" i="19"/>
  <c r="Q30" i="19"/>
  <c r="P30" i="19"/>
  <c r="R30" i="19" s="1"/>
  <c r="Q11" i="19"/>
  <c r="P11" i="19"/>
  <c r="Q19" i="19"/>
  <c r="P19" i="19"/>
  <c r="R19" i="19" s="1"/>
  <c r="Q27" i="19"/>
  <c r="P27" i="19"/>
  <c r="Q5" i="19"/>
  <c r="P5" i="19"/>
  <c r="R5" i="19" s="1"/>
  <c r="Q9" i="19"/>
  <c r="P9" i="19"/>
  <c r="Q13" i="19"/>
  <c r="P13" i="19"/>
  <c r="R13" i="19" s="1"/>
  <c r="Q17" i="19"/>
  <c r="P17" i="19"/>
  <c r="Q21" i="19"/>
  <c r="P21" i="19"/>
  <c r="R21" i="19" s="1"/>
  <c r="Q25" i="19"/>
  <c r="P25" i="19"/>
  <c r="Q29" i="19"/>
  <c r="P29" i="19"/>
  <c r="R29" i="19" s="1"/>
  <c r="Q33" i="19"/>
  <c r="P33" i="19"/>
  <c r="Q6" i="19"/>
  <c r="P6" i="19"/>
  <c r="R6" i="19" s="1"/>
  <c r="Q14" i="19"/>
  <c r="P14" i="19"/>
  <c r="Q22" i="19"/>
  <c r="P22" i="19"/>
  <c r="R22" i="19" s="1"/>
  <c r="Q26" i="19"/>
  <c r="P26" i="19"/>
  <c r="Q7" i="19"/>
  <c r="P7" i="19"/>
  <c r="R7" i="19" s="1"/>
  <c r="Q15" i="19"/>
  <c r="P15" i="19"/>
  <c r="Q23" i="19"/>
  <c r="P23" i="19"/>
  <c r="R23" i="19" s="1"/>
  <c r="Q31" i="19"/>
  <c r="P31" i="19"/>
  <c r="Q8" i="19"/>
  <c r="P8" i="19"/>
  <c r="R8" i="19" s="1"/>
  <c r="Q12" i="19"/>
  <c r="P12" i="19"/>
  <c r="Q16" i="19"/>
  <c r="P16" i="19"/>
  <c r="R16" i="19" s="1"/>
  <c r="Q20" i="19"/>
  <c r="P20" i="19"/>
  <c r="Q24" i="19"/>
  <c r="P24" i="19"/>
  <c r="R24" i="19" s="1"/>
  <c r="Q28" i="19"/>
  <c r="P28" i="19"/>
  <c r="Q32" i="19"/>
  <c r="P32" i="19"/>
  <c r="R32" i="19" s="1"/>
  <c r="Q4" i="19"/>
  <c r="P4" i="19"/>
  <c r="O53" i="19"/>
  <c r="R36" i="11"/>
  <c r="F11" i="15"/>
  <c r="F9" i="15"/>
  <c r="F8" i="15"/>
  <c r="F12" i="15"/>
  <c r="F10" i="15"/>
  <c r="J36" i="11"/>
  <c r="K36" i="11"/>
  <c r="J49" i="5"/>
  <c r="K49" i="5"/>
  <c r="J33" i="20"/>
  <c r="K33" i="20"/>
  <c r="J50" i="13"/>
  <c r="K50" i="13"/>
  <c r="R21" i="18" l="1"/>
  <c r="R50" i="13"/>
  <c r="Q53" i="19"/>
  <c r="R50" i="19"/>
  <c r="R42" i="19"/>
  <c r="R49" i="19"/>
  <c r="R41" i="19"/>
  <c r="R52" i="19"/>
  <c r="R44" i="19"/>
  <c r="R36" i="19"/>
  <c r="R47" i="19"/>
  <c r="R39" i="19"/>
  <c r="R28" i="19"/>
  <c r="R20" i="19"/>
  <c r="R12" i="19"/>
  <c r="R31" i="19"/>
  <c r="R15" i="19"/>
  <c r="R26" i="19"/>
  <c r="R14" i="19"/>
  <c r="R33" i="19"/>
  <c r="R25" i="19"/>
  <c r="R17" i="19"/>
  <c r="R9" i="19"/>
  <c r="R27" i="19"/>
  <c r="R11" i="19"/>
  <c r="R18" i="19"/>
  <c r="R4" i="19"/>
  <c r="P53" i="19"/>
  <c r="U46" i="5"/>
  <c r="U42" i="5"/>
  <c r="U33" i="5"/>
  <c r="U31" i="5"/>
  <c r="U16" i="5"/>
  <c r="U15" i="5"/>
  <c r="R53" i="19" l="1"/>
  <c r="Q42" i="5"/>
  <c r="Q35" i="5"/>
  <c r="Q21" i="5"/>
  <c r="Q16" i="5"/>
  <c r="Q12" i="5"/>
  <c r="Q9" i="5"/>
  <c r="Q6" i="5"/>
  <c r="Q30" i="5" l="1"/>
  <c r="Q46" i="5"/>
  <c r="Q44" i="5"/>
  <c r="Q43" i="5"/>
  <c r="Q41" i="5"/>
  <c r="Q36" i="5"/>
  <c r="Q33" i="5"/>
  <c r="Q24" i="5"/>
  <c r="Q15" i="5"/>
  <c r="Q13" i="5"/>
  <c r="D22" i="14" l="1"/>
  <c r="D21" i="14"/>
  <c r="D20" i="14"/>
  <c r="D19" i="14"/>
  <c r="D18" i="14"/>
  <c r="D17" i="14"/>
  <c r="D16" i="14"/>
  <c r="D15" i="14"/>
  <c r="D14" i="14"/>
  <c r="D13" i="14"/>
  <c r="D12" i="14"/>
  <c r="D11" i="14"/>
  <c r="D10" i="14"/>
  <c r="D9" i="14"/>
  <c r="U47" i="5" l="1"/>
  <c r="F9" i="14"/>
  <c r="E9" i="14"/>
  <c r="U36" i="5"/>
  <c r="U9" i="5"/>
  <c r="U44" i="5"/>
  <c r="U41" i="5"/>
  <c r="U35" i="5"/>
  <c r="U21" i="5"/>
  <c r="U12" i="5"/>
  <c r="U6" i="5"/>
  <c r="U30" i="5"/>
  <c r="U43" i="5"/>
  <c r="U24" i="5"/>
  <c r="Q40" i="5" l="1"/>
  <c r="Q34" i="5"/>
  <c r="Q31" i="5"/>
  <c r="Q11" i="5"/>
  <c r="Q5" i="5"/>
  <c r="E415" i="17"/>
  <c r="F433" i="17"/>
  <c r="F432" i="17"/>
  <c r="F431" i="17"/>
  <c r="F430" i="17"/>
  <c r="F416" i="17"/>
  <c r="F402" i="17"/>
  <c r="U40" i="5" l="1"/>
  <c r="U11" i="5" l="1"/>
  <c r="U5" i="5"/>
  <c r="U34" i="5"/>
  <c r="F338" i="17"/>
  <c r="F337" i="17"/>
  <c r="F336" i="17"/>
  <c r="F335" i="17"/>
  <c r="F334" i="17"/>
  <c r="F333" i="17"/>
  <c r="F332" i="17"/>
  <c r="F331" i="17"/>
  <c r="F330" i="17"/>
  <c r="F327" i="17"/>
  <c r="F326" i="17"/>
  <c r="F325" i="17"/>
  <c r="F324" i="17"/>
  <c r="E324" i="17"/>
  <c r="F323" i="17"/>
  <c r="F322" i="17"/>
  <c r="F321" i="17"/>
  <c r="F320" i="17"/>
  <c r="F319" i="17"/>
  <c r="E319" i="17"/>
  <c r="F318" i="17"/>
  <c r="G318" i="17" s="1"/>
  <c r="E318" i="17"/>
  <c r="F361" i="17"/>
  <c r="F360" i="17"/>
  <c r="F359" i="17"/>
  <c r="F358" i="17"/>
  <c r="F357" i="17"/>
  <c r="F356" i="17"/>
  <c r="F355" i="17"/>
  <c r="F354" i="17"/>
  <c r="F353" i="17"/>
  <c r="F352" i="17"/>
  <c r="F351" i="17"/>
  <c r="F350" i="17"/>
  <c r="F349" i="17"/>
  <c r="F348" i="17"/>
  <c r="F347" i="17"/>
  <c r="E353" i="17"/>
  <c r="E349" i="17"/>
  <c r="E347" i="17"/>
  <c r="F201" i="17"/>
  <c r="F200" i="17"/>
  <c r="F199" i="17"/>
  <c r="F198" i="17"/>
  <c r="F194" i="17"/>
  <c r="F193" i="17"/>
  <c r="F192" i="17"/>
  <c r="G188" i="17" s="1"/>
  <c r="F187" i="17"/>
  <c r="G187" i="17" s="1"/>
  <c r="E193" i="17"/>
  <c r="E188" i="17"/>
  <c r="E187" i="17"/>
  <c r="F175" i="17"/>
  <c r="F174" i="17"/>
  <c r="F173" i="17"/>
  <c r="F172" i="17"/>
  <c r="F171" i="17"/>
  <c r="F170" i="17"/>
  <c r="F169" i="17"/>
  <c r="F168" i="17"/>
  <c r="F167" i="17"/>
  <c r="F166" i="17"/>
  <c r="F165" i="17"/>
  <c r="F164" i="17"/>
  <c r="F162" i="17"/>
  <c r="F161" i="17"/>
  <c r="F160" i="17"/>
  <c r="G160" i="17" s="1"/>
  <c r="E166" i="17"/>
  <c r="E161" i="17"/>
  <c r="E160" i="17"/>
  <c r="E298" i="17"/>
  <c r="F148" i="17"/>
  <c r="F147" i="17"/>
  <c r="F146" i="17"/>
  <c r="E137" i="17"/>
  <c r="F138" i="17"/>
  <c r="E10" i="15" l="1"/>
  <c r="H188" i="17"/>
  <c r="H160" i="17"/>
  <c r="G166" i="17"/>
  <c r="H166" i="17" s="1"/>
  <c r="G347" i="17"/>
  <c r="H347" i="17" s="1"/>
  <c r="G349" i="17"/>
  <c r="H349" i="17" s="1"/>
  <c r="G353" i="17"/>
  <c r="H353" i="17" s="1"/>
  <c r="G161" i="17"/>
  <c r="H161" i="17" s="1"/>
  <c r="G193" i="17"/>
  <c r="H193" i="17" s="1"/>
  <c r="H187" i="17"/>
  <c r="G319" i="17"/>
  <c r="H319" i="17" s="1"/>
  <c r="G324" i="17"/>
  <c r="H324" i="17" s="1"/>
  <c r="H318" i="17"/>
  <c r="F127" i="17" l="1"/>
  <c r="F126" i="17"/>
  <c r="F108" i="17"/>
  <c r="F107" i="17"/>
  <c r="O43" i="17"/>
  <c r="F581" i="17" l="1"/>
  <c r="F579" i="17"/>
  <c r="F577" i="17"/>
  <c r="F574" i="17"/>
  <c r="F572" i="17"/>
  <c r="F570" i="17"/>
  <c r="E573" i="17"/>
  <c r="E569" i="17"/>
  <c r="E567" i="17"/>
  <c r="O532" i="17"/>
  <c r="F560" i="17"/>
  <c r="F559" i="17"/>
  <c r="F558" i="17"/>
  <c r="F557" i="17"/>
  <c r="F556" i="17"/>
  <c r="F555" i="17"/>
  <c r="F554" i="17"/>
  <c r="F553" i="17"/>
  <c r="F552" i="17"/>
  <c r="E558" i="17"/>
  <c r="E554" i="17"/>
  <c r="E552" i="17"/>
  <c r="F544" i="17"/>
  <c r="F542" i="17"/>
  <c r="F536" i="17"/>
  <c r="F535" i="17"/>
  <c r="F534" i="17"/>
  <c r="F533" i="17"/>
  <c r="F531" i="17"/>
  <c r="G531" i="17" s="1"/>
  <c r="E537" i="17"/>
  <c r="E533" i="17"/>
  <c r="G537" i="17" l="1"/>
  <c r="H537" i="17" s="1"/>
  <c r="G569" i="17"/>
  <c r="H569" i="17" s="1"/>
  <c r="G552" i="17"/>
  <c r="G558" i="17"/>
  <c r="G533" i="17"/>
  <c r="H533" i="17" s="1"/>
  <c r="G554" i="17"/>
  <c r="H531" i="17"/>
  <c r="G573" i="17"/>
  <c r="H573" i="17" s="1"/>
  <c r="F33" i="17"/>
  <c r="F32" i="17"/>
  <c r="F30" i="17"/>
  <c r="F29" i="17"/>
  <c r="F28" i="17"/>
  <c r="F27" i="17"/>
  <c r="F26" i="17"/>
  <c r="F25" i="17"/>
  <c r="F24" i="17"/>
  <c r="G24" i="17" s="1"/>
  <c r="E29" i="17"/>
  <c r="E25" i="17"/>
  <c r="E24" i="17"/>
  <c r="F17" i="17"/>
  <c r="F16" i="17"/>
  <c r="F15" i="17"/>
  <c r="F14" i="17"/>
  <c r="F13" i="17"/>
  <c r="F12" i="17"/>
  <c r="F11" i="17"/>
  <c r="F10" i="17"/>
  <c r="F9" i="17"/>
  <c r="G9" i="17" s="1"/>
  <c r="E14" i="17"/>
  <c r="E10" i="17"/>
  <c r="E9" i="17"/>
  <c r="O10" i="17"/>
  <c r="H9" i="17" l="1"/>
  <c r="G25" i="17"/>
  <c r="H25" i="17" s="1"/>
  <c r="G29" i="17"/>
  <c r="H29" i="17" s="1"/>
  <c r="G10" i="17"/>
  <c r="H10" i="17" s="1"/>
  <c r="H24" i="17"/>
  <c r="G14" i="17"/>
  <c r="H14" i="17" s="1"/>
  <c r="K12" i="17" l="1"/>
  <c r="K11" i="17"/>
  <c r="K10" i="17"/>
  <c r="L10" i="17" l="1"/>
  <c r="P10" i="17" s="1"/>
  <c r="P11" i="17" l="1"/>
  <c r="P12" i="17"/>
  <c r="C36" i="11" l="1"/>
  <c r="I21" i="11"/>
  <c r="H21" i="11"/>
  <c r="G21" i="11"/>
  <c r="K15" i="10"/>
  <c r="J15" i="10"/>
  <c r="C15" i="10"/>
  <c r="H558" i="17"/>
  <c r="K534" i="17" s="1"/>
  <c r="H554" i="17"/>
  <c r="K533" i="17" s="1"/>
  <c r="H552" i="17"/>
  <c r="F500" i="17"/>
  <c r="F498" i="17"/>
  <c r="F494" i="17"/>
  <c r="F493" i="17"/>
  <c r="F492" i="17"/>
  <c r="F491" i="17"/>
  <c r="F490" i="17"/>
  <c r="E493" i="17"/>
  <c r="E490" i="17"/>
  <c r="F520" i="17"/>
  <c r="F517" i="17"/>
  <c r="F516" i="17"/>
  <c r="F514" i="17"/>
  <c r="F513" i="17"/>
  <c r="F512" i="17"/>
  <c r="F511" i="17"/>
  <c r="F509" i="17"/>
  <c r="F507" i="17"/>
  <c r="G507" i="17" s="1"/>
  <c r="E512" i="17"/>
  <c r="E509" i="17"/>
  <c r="E507" i="17"/>
  <c r="F480" i="17"/>
  <c r="F478" i="17"/>
  <c r="F477" i="17"/>
  <c r="F476" i="17"/>
  <c r="F475" i="17"/>
  <c r="F474" i="17"/>
  <c r="F472" i="17"/>
  <c r="F470" i="17"/>
  <c r="F468" i="17"/>
  <c r="F467" i="17"/>
  <c r="F466" i="17"/>
  <c r="F465" i="17"/>
  <c r="F464" i="17"/>
  <c r="F463" i="17"/>
  <c r="E469" i="17"/>
  <c r="E465" i="17"/>
  <c r="E463" i="17"/>
  <c r="F455" i="17"/>
  <c r="F454" i="17"/>
  <c r="F452" i="17"/>
  <c r="F451" i="17"/>
  <c r="F449" i="17"/>
  <c r="F448" i="17"/>
  <c r="F447" i="17"/>
  <c r="F446" i="17"/>
  <c r="F445" i="17"/>
  <c r="F444" i="17"/>
  <c r="F443" i="17"/>
  <c r="F442" i="17"/>
  <c r="F441" i="17"/>
  <c r="E447" i="17"/>
  <c r="E443" i="17"/>
  <c r="E441" i="17"/>
  <c r="F429" i="17"/>
  <c r="F428" i="17"/>
  <c r="F427" i="17"/>
  <c r="F426" i="17"/>
  <c r="F425" i="17"/>
  <c r="F424" i="17"/>
  <c r="F423" i="17"/>
  <c r="F422" i="17"/>
  <c r="F421" i="17"/>
  <c r="F420" i="17"/>
  <c r="F419" i="17"/>
  <c r="F418" i="17"/>
  <c r="F417" i="17"/>
  <c r="F415" i="17"/>
  <c r="G415" i="17" s="1"/>
  <c r="E421" i="17"/>
  <c r="E416" i="17"/>
  <c r="F383" i="17"/>
  <c r="F370" i="17"/>
  <c r="E375" i="17"/>
  <c r="E371" i="17"/>
  <c r="E369" i="17"/>
  <c r="F369" i="17"/>
  <c r="G369" i="17" s="1"/>
  <c r="D12" i="15" l="1"/>
  <c r="E12" i="15"/>
  <c r="C12" i="15"/>
  <c r="C11" i="15"/>
  <c r="D11" i="15"/>
  <c r="E11" i="15"/>
  <c r="G416" i="17"/>
  <c r="G421" i="17"/>
  <c r="H415" i="17"/>
  <c r="K532" i="17"/>
  <c r="G463" i="17"/>
  <c r="G509" i="17"/>
  <c r="H509" i="17" s="1"/>
  <c r="G512" i="17"/>
  <c r="G469" i="17"/>
  <c r="H469" i="17" s="1"/>
  <c r="H507" i="17"/>
  <c r="G465" i="17"/>
  <c r="G490" i="17"/>
  <c r="G493" i="17"/>
  <c r="H493" i="17" s="1"/>
  <c r="G443" i="17"/>
  <c r="G447" i="17"/>
  <c r="G441" i="17"/>
  <c r="H369" i="17"/>
  <c r="U26" i="5" l="1"/>
  <c r="L532" i="17"/>
  <c r="P534" i="17" s="1"/>
  <c r="H512" i="17"/>
  <c r="H12" i="15" l="1"/>
  <c r="G12" i="15"/>
  <c r="H11" i="15"/>
  <c r="G11" i="15"/>
  <c r="P532" i="17"/>
  <c r="P533" i="17"/>
  <c r="F405" i="17"/>
  <c r="F404" i="17"/>
  <c r="F403" i="17"/>
  <c r="F400" i="17"/>
  <c r="F399" i="17"/>
  <c r="F398" i="17"/>
  <c r="F397" i="17"/>
  <c r="F396" i="17"/>
  <c r="F395" i="17"/>
  <c r="F394" i="17"/>
  <c r="F393" i="17"/>
  <c r="F392" i="17"/>
  <c r="E398" i="17"/>
  <c r="E394" i="17"/>
  <c r="E392" i="17"/>
  <c r="H416" i="17"/>
  <c r="H465" i="17"/>
  <c r="H463" i="17"/>
  <c r="H441" i="17"/>
  <c r="H490" i="17"/>
  <c r="F382" i="17"/>
  <c r="F381" i="17"/>
  <c r="F380" i="17"/>
  <c r="F379" i="17"/>
  <c r="F378" i="17"/>
  <c r="F377" i="17"/>
  <c r="F376" i="17"/>
  <c r="F375" i="17"/>
  <c r="F374" i="17"/>
  <c r="F373" i="17"/>
  <c r="F372" i="17"/>
  <c r="F371" i="17"/>
  <c r="C49" i="5"/>
  <c r="I12" i="15" l="1"/>
  <c r="I11" i="15"/>
  <c r="Q48" i="5"/>
  <c r="C6" i="15"/>
  <c r="E6" i="15"/>
  <c r="D6" i="15"/>
  <c r="G371" i="17"/>
  <c r="G375" i="17"/>
  <c r="H375" i="17" s="1"/>
  <c r="G392" i="17"/>
  <c r="H392" i="17" s="1"/>
  <c r="G394" i="17"/>
  <c r="G398" i="17"/>
  <c r="H398" i="17" s="1"/>
  <c r="H447" i="17"/>
  <c r="H421" i="17"/>
  <c r="H443" i="17"/>
  <c r="S48" i="5" l="1"/>
  <c r="S49" i="5" s="1"/>
  <c r="R48" i="5"/>
  <c r="Q49" i="5"/>
  <c r="F6" i="15" s="1"/>
  <c r="U22" i="5"/>
  <c r="U17" i="5"/>
  <c r="U25" i="5"/>
  <c r="U27" i="5"/>
  <c r="U7" i="5"/>
  <c r="U8" i="5"/>
  <c r="U45" i="5"/>
  <c r="U38" i="5"/>
  <c r="H371" i="17"/>
  <c r="H394" i="17"/>
  <c r="E47" i="17"/>
  <c r="E43" i="17"/>
  <c r="E42" i="17"/>
  <c r="F74" i="17"/>
  <c r="F73" i="17"/>
  <c r="F72" i="17"/>
  <c r="F71" i="17"/>
  <c r="F70" i="17"/>
  <c r="F69" i="17"/>
  <c r="F68" i="17"/>
  <c r="F67" i="17"/>
  <c r="F66" i="17"/>
  <c r="F65" i="17"/>
  <c r="F64" i="17"/>
  <c r="E64" i="17"/>
  <c r="F63" i="17"/>
  <c r="F62" i="17"/>
  <c r="F61" i="17"/>
  <c r="F60" i="17"/>
  <c r="E60" i="17"/>
  <c r="F59" i="17"/>
  <c r="F58" i="17"/>
  <c r="E58" i="17"/>
  <c r="F50" i="17"/>
  <c r="F49" i="17"/>
  <c r="F48" i="17"/>
  <c r="F47" i="17"/>
  <c r="F46" i="17"/>
  <c r="F45" i="17"/>
  <c r="F44" i="17"/>
  <c r="F43" i="17"/>
  <c r="F42" i="17"/>
  <c r="G42" i="17" s="1"/>
  <c r="T48" i="5" l="1"/>
  <c r="T49" i="5" s="1"/>
  <c r="R49" i="5"/>
  <c r="G6" i="15" s="1"/>
  <c r="H6" i="15"/>
  <c r="U18" i="5"/>
  <c r="U29" i="5"/>
  <c r="U37" i="5"/>
  <c r="U23" i="5"/>
  <c r="U20" i="5"/>
  <c r="U10" i="5"/>
  <c r="U48" i="5"/>
  <c r="U39" i="5"/>
  <c r="U28" i="5"/>
  <c r="G58" i="17"/>
  <c r="H58" i="17" s="1"/>
  <c r="G60" i="17"/>
  <c r="H60" i="17" s="1"/>
  <c r="G64" i="17"/>
  <c r="H64" i="17" s="1"/>
  <c r="H42" i="17"/>
  <c r="G43" i="17"/>
  <c r="H43" i="17" s="1"/>
  <c r="G47" i="17"/>
  <c r="H47" i="17" s="1"/>
  <c r="F310" i="17"/>
  <c r="F309" i="17"/>
  <c r="F308" i="17"/>
  <c r="F307" i="17"/>
  <c r="F306" i="17"/>
  <c r="F305" i="17"/>
  <c r="F304" i="17"/>
  <c r="F302" i="17"/>
  <c r="F301" i="17"/>
  <c r="F300" i="17"/>
  <c r="F299" i="17"/>
  <c r="F298" i="17"/>
  <c r="F297" i="17"/>
  <c r="F296" i="17"/>
  <c r="F295" i="17"/>
  <c r="F294" i="17"/>
  <c r="F293" i="17"/>
  <c r="F292" i="17"/>
  <c r="G292" i="17" s="1"/>
  <c r="E293" i="17"/>
  <c r="E292" i="17"/>
  <c r="F243" i="17"/>
  <c r="F252" i="17"/>
  <c r="F250" i="17"/>
  <c r="F245" i="17"/>
  <c r="F244" i="17"/>
  <c r="F242" i="17"/>
  <c r="F241" i="17"/>
  <c r="F240" i="17"/>
  <c r="F239" i="17"/>
  <c r="F238" i="17"/>
  <c r="F237" i="17"/>
  <c r="G237" i="17" s="1"/>
  <c r="E243" i="17"/>
  <c r="E238" i="17"/>
  <c r="E237" i="17"/>
  <c r="F229" i="17"/>
  <c r="F226" i="17"/>
  <c r="F225" i="17"/>
  <c r="F223" i="17"/>
  <c r="F222" i="17"/>
  <c r="F221" i="17"/>
  <c r="F220" i="17"/>
  <c r="F219" i="17"/>
  <c r="F218" i="17"/>
  <c r="F216" i="17"/>
  <c r="F215" i="17"/>
  <c r="E221" i="17"/>
  <c r="E217" i="17"/>
  <c r="E215" i="17"/>
  <c r="F151" i="17"/>
  <c r="F150" i="17"/>
  <c r="F149" i="17"/>
  <c r="F145" i="17"/>
  <c r="F144" i="17"/>
  <c r="F143" i="17"/>
  <c r="F142" i="17"/>
  <c r="F140" i="17"/>
  <c r="F137" i="17"/>
  <c r="G137" i="17" s="1"/>
  <c r="E143" i="17"/>
  <c r="E139" i="17"/>
  <c r="E266" i="17"/>
  <c r="E265" i="17"/>
  <c r="F283" i="17"/>
  <c r="F282" i="17"/>
  <c r="F281" i="17"/>
  <c r="F280" i="17"/>
  <c r="F279" i="17"/>
  <c r="F278" i="17"/>
  <c r="F277" i="17"/>
  <c r="F276" i="17"/>
  <c r="F275" i="17"/>
  <c r="F274" i="17"/>
  <c r="F273" i="17"/>
  <c r="F272" i="17"/>
  <c r="F271" i="17"/>
  <c r="F270" i="17"/>
  <c r="F269" i="17"/>
  <c r="F268" i="17"/>
  <c r="F267" i="17"/>
  <c r="F266" i="17"/>
  <c r="F265" i="17"/>
  <c r="G265" i="17" s="1"/>
  <c r="E271" i="17"/>
  <c r="C33" i="20"/>
  <c r="C53" i="19"/>
  <c r="C21" i="18"/>
  <c r="F125" i="17"/>
  <c r="F124" i="17"/>
  <c r="F123" i="17"/>
  <c r="F122" i="17"/>
  <c r="F121" i="17"/>
  <c r="F120" i="17"/>
  <c r="F119" i="17"/>
  <c r="F116" i="17"/>
  <c r="F115" i="17"/>
  <c r="F114" i="17"/>
  <c r="F113" i="17"/>
  <c r="E113" i="17"/>
  <c r="F112" i="17"/>
  <c r="F111" i="17"/>
  <c r="F110" i="17"/>
  <c r="F109" i="17"/>
  <c r="E108" i="17"/>
  <c r="G107" i="17"/>
  <c r="E107" i="17"/>
  <c r="F93" i="17"/>
  <c r="F91" i="17"/>
  <c r="F90" i="17"/>
  <c r="F89" i="17"/>
  <c r="E89" i="17"/>
  <c r="F88" i="17"/>
  <c r="F86" i="17"/>
  <c r="E85" i="17"/>
  <c r="F84" i="17"/>
  <c r="G83" i="17" s="1"/>
  <c r="E83" i="17"/>
  <c r="I6" i="15" l="1"/>
  <c r="D10" i="15"/>
  <c r="C10" i="15"/>
  <c r="E9" i="15"/>
  <c r="D9" i="15"/>
  <c r="C9" i="15"/>
  <c r="E7" i="15"/>
  <c r="C7" i="15"/>
  <c r="D7" i="15"/>
  <c r="G143" i="17"/>
  <c r="H143" i="17" s="1"/>
  <c r="G139" i="17"/>
  <c r="H107" i="17"/>
  <c r="K43" i="17"/>
  <c r="K44" i="17"/>
  <c r="G298" i="17"/>
  <c r="H298" i="17" s="1"/>
  <c r="K45" i="17"/>
  <c r="G293" i="17"/>
  <c r="H293" i="17" s="1"/>
  <c r="H292" i="17"/>
  <c r="G85" i="17"/>
  <c r="H85" i="17" s="1"/>
  <c r="G215" i="17"/>
  <c r="H215" i="17" s="1"/>
  <c r="G238" i="17"/>
  <c r="H238" i="17" s="1"/>
  <c r="G243" i="17"/>
  <c r="H243" i="17" s="1"/>
  <c r="H237" i="17"/>
  <c r="G217" i="17"/>
  <c r="H217" i="17" s="1"/>
  <c r="G221" i="17"/>
  <c r="H221" i="17" s="1"/>
  <c r="H137" i="17"/>
  <c r="G266" i="17"/>
  <c r="H266" i="17" s="1"/>
  <c r="H265" i="17"/>
  <c r="G271" i="17"/>
  <c r="H271" i="17" s="1"/>
  <c r="G89" i="17"/>
  <c r="H89" i="17" s="1"/>
  <c r="G108" i="17"/>
  <c r="G113" i="17"/>
  <c r="H113" i="17" s="1"/>
  <c r="H83" i="17"/>
  <c r="F7" i="15" l="1"/>
  <c r="K138" i="17"/>
  <c r="K140" i="17"/>
  <c r="K84" i="17"/>
  <c r="K86" i="17"/>
  <c r="L43" i="17"/>
  <c r="P44" i="17" s="1"/>
  <c r="H139" i="17"/>
  <c r="K139" i="17" s="1"/>
  <c r="H108" i="17"/>
  <c r="H10" i="15" l="1"/>
  <c r="G7" i="15"/>
  <c r="H7" i="15"/>
  <c r="H9" i="15"/>
  <c r="P45" i="17"/>
  <c r="K85" i="17"/>
  <c r="P43" i="17"/>
  <c r="I10" i="15" l="1"/>
  <c r="G9" i="15"/>
  <c r="I7" i="15"/>
  <c r="G10" i="15"/>
  <c r="I9" i="15" l="1"/>
  <c r="C50" i="13" l="1"/>
  <c r="E8" i="15" l="1"/>
  <c r="C8" i="15"/>
  <c r="D8" i="15"/>
  <c r="H8" i="15" l="1"/>
  <c r="I8" i="15"/>
  <c r="G8" i="15"/>
</calcChain>
</file>

<file path=xl/sharedStrings.xml><?xml version="1.0" encoding="utf-8"?>
<sst xmlns="http://schemas.openxmlformats.org/spreadsheetml/2006/main" count="1357" uniqueCount="408">
  <si>
    <t>Country</t>
  </si>
  <si>
    <t>Labour force</t>
  </si>
  <si>
    <t>Afghanistan</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</si>
  <si>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</si>
  <si>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</si>
  <si>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</si>
  <si>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</si>
  <si>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</si>
  <si>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</si>
  <si>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</si>
  <si>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</si>
  <si>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</si>
  <si>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</si>
  <si>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</si>
  <si>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</si>
  <si>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</si>
  <si>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</si>
  <si>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</si>
  <si>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</si>
  <si>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</si>
  <si>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</si>
  <si>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</si>
  <si>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</si>
  <si>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</si>
  <si>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</si>
  <si>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</si>
  <si>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</si>
  <si>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</si>
  <si>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</si>
  <si>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</si>
  <si>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Brunei Darussalam</t>
  </si>
  <si>
    <t>Bulgaria</t>
  </si>
  <si>
    <t>Burkina Faso</t>
  </si>
  <si>
    <t>Burundi</t>
  </si>
  <si>
    <t>Cambodia</t>
  </si>
  <si>
    <t>Cameroon</t>
  </si>
  <si>
    <t>Canada</t>
  </si>
  <si>
    <t>Cape Verde</t>
  </si>
  <si>
    <t>Cayman Islands</t>
  </si>
  <si>
    <t>Central African Republic</t>
  </si>
  <si>
    <t>Chad</t>
  </si>
  <si>
    <t>Chile</t>
  </si>
  <si>
    <t xml:space="preserve">China  </t>
  </si>
  <si>
    <t>Colombia</t>
  </si>
  <si>
    <t>Comoros</t>
  </si>
  <si>
    <t>Congo, Democratic Republic of the</t>
  </si>
  <si>
    <t>Congo, Republic of</t>
  </si>
  <si>
    <t>Cook Islands</t>
  </si>
  <si>
    <t>Costa Rica</t>
  </si>
  <si>
    <t>Côte d'Ivoire</t>
  </si>
  <si>
    <t>Croatia</t>
  </si>
  <si>
    <t>Cuba</t>
  </si>
  <si>
    <t xml:space="preserve">Cyprus </t>
  </si>
  <si>
    <t>Czech Republic</t>
  </si>
  <si>
    <t>Denmark</t>
  </si>
  <si>
    <t>Djibouti</t>
  </si>
  <si>
    <t>Dominica</t>
  </si>
  <si>
    <t>Dominican Republic</t>
  </si>
  <si>
    <t>Ecuador</t>
  </si>
  <si>
    <t>Egypt</t>
  </si>
  <si>
    <t>El Salvador</t>
  </si>
  <si>
    <t>Equatorial Guinea</t>
  </si>
  <si>
    <t>Eritrea</t>
  </si>
  <si>
    <t>Estonia</t>
  </si>
  <si>
    <t>Ethiopia</t>
  </si>
  <si>
    <t>Faeroe Islands</t>
  </si>
  <si>
    <t>Falkland Islands (Malvinas)</t>
  </si>
  <si>
    <t>Fiji</t>
  </si>
  <si>
    <t>Finland</t>
  </si>
  <si>
    <t>France</t>
  </si>
  <si>
    <t xml:space="preserve">French Guiana </t>
  </si>
  <si>
    <t>French Polynesia</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</si>
  <si>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</si>
  <si>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</si>
  <si>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</si>
  <si>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</si>
  <si>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</si>
  <si>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</si>
  <si>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</si>
  <si>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</si>
  <si>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</si>
  <si>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</si>
  <si>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</si>
  <si>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</si>
  <si>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</si>
  <si>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</si>
  <si>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</si>
  <si>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</si>
  <si>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</si>
  <si>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Honduras</t>
  </si>
  <si>
    <t>Hong Kong, China</t>
  </si>
  <si>
    <t>Hungary</t>
  </si>
  <si>
    <t>Iceland</t>
  </si>
  <si>
    <t>India</t>
  </si>
  <si>
    <t>Indonesia</t>
  </si>
  <si>
    <t>Iran, Islamic Rep. Of</t>
  </si>
  <si>
    <t>Iraq</t>
  </si>
  <si>
    <t>Ireland</t>
  </si>
  <si>
    <t>Isle of Man</t>
  </si>
  <si>
    <t>Israel</t>
  </si>
  <si>
    <t>Italy</t>
  </si>
  <si>
    <t>Jamaica</t>
  </si>
  <si>
    <t>Japan</t>
  </si>
  <si>
    <t>Jersey</t>
  </si>
  <si>
    <t>Jordan</t>
  </si>
  <si>
    <t>Kazakhstan</t>
  </si>
  <si>
    <t>Kenya</t>
  </si>
  <si>
    <t>Kiribati</t>
  </si>
  <si>
    <t>Korea, Dem. People's Rep. Of</t>
  </si>
  <si>
    <t>Korea, Republic of</t>
  </si>
  <si>
    <t>Kuwait</t>
  </si>
  <si>
    <t>Kyrgyzstan</t>
  </si>
  <si>
    <t>Lao People's Dem. Rep.</t>
  </si>
  <si>
    <t>Latvia</t>
  </si>
  <si>
    <t>Lebanon</t>
  </si>
  <si>
    <t>Lesotho</t>
  </si>
  <si>
    <t>Liberia</t>
  </si>
  <si>
    <t>Libyan Arab Jamahiriya</t>
  </si>
  <si>
    <t>Liechtenstein</t>
  </si>
  <si>
    <t>Lithuania</t>
  </si>
  <si>
    <t>Luxembourg</t>
  </si>
  <si>
    <t>Macau, China</t>
  </si>
  <si>
    <t>Macedonia, The former Yugoslav Rep. of</t>
  </si>
  <si>
    <t>Madagascar</t>
  </si>
  <si>
    <t>Malawi</t>
  </si>
  <si>
    <t>Malaysia</t>
  </si>
  <si>
    <t>Maldives</t>
  </si>
  <si>
    <t>Mali</t>
  </si>
  <si>
    <t>Malta</t>
  </si>
  <si>
    <t>Marshall Islands</t>
  </si>
  <si>
    <t>Martinique</t>
  </si>
  <si>
    <t>Mauritania</t>
  </si>
  <si>
    <t>Mauritius</t>
  </si>
  <si>
    <t>Mayotte</t>
  </si>
  <si>
    <t>Mexico</t>
  </si>
  <si>
    <t>Micronesia</t>
  </si>
  <si>
    <t>Moldova, Republic of</t>
  </si>
  <si>
    <t>Monaco</t>
  </si>
  <si>
    <t>Mongolia</t>
  </si>
  <si>
    <t>Montenegro</t>
  </si>
  <si>
    <t>Montserrat</t>
  </si>
  <si>
    <t>Morocco</t>
  </si>
  <si>
    <t>Mozambique</t>
  </si>
  <si>
    <t>Myanmar (Burma)</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</si>
  <si>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</si>
  <si>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</si>
  <si>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</si>
  <si>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</si>
  <si>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</si>
  <si>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</si>
  <si>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</si>
  <si>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</si>
  <si>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</si>
  <si>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</si>
  <si>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</si>
  <si>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</si>
  <si>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</si>
  <si>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</si>
  <si>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</si>
  <si>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</si>
  <si>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</si>
  <si>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Panama</t>
  </si>
  <si>
    <t>Papua New Guinea</t>
  </si>
  <si>
    <t>Paraguay</t>
  </si>
  <si>
    <t>Peru</t>
  </si>
  <si>
    <t>Philippines</t>
  </si>
  <si>
    <t>Poland</t>
  </si>
  <si>
    <t>Portugal</t>
  </si>
  <si>
    <t>Puerto Rico</t>
  </si>
  <si>
    <t>Qatar</t>
  </si>
  <si>
    <t>Réunion</t>
  </si>
  <si>
    <t>Romania</t>
  </si>
  <si>
    <t>Russian Federation</t>
  </si>
  <si>
    <t>Rwanda</t>
  </si>
  <si>
    <t>Saint Helena</t>
  </si>
  <si>
    <t>Saint Kitts and Nevis</t>
  </si>
  <si>
    <t>Saint Lucia</t>
  </si>
  <si>
    <t>Saint Pierre and Miquelon</t>
  </si>
  <si>
    <t>Saint Vincent and the Grenadines</t>
  </si>
  <si>
    <t>Samoa</t>
  </si>
  <si>
    <t>San Marino</t>
  </si>
  <si>
    <t>Sao Tome and Principe</t>
  </si>
  <si>
    <t>Saudi Arabia</t>
  </si>
  <si>
    <t>Senegal</t>
  </si>
  <si>
    <t xml:space="preserve">Serbia </t>
  </si>
  <si>
    <t>Seychelles</t>
  </si>
  <si>
    <t>Sierra Leone</t>
  </si>
  <si>
    <t>Singapore</t>
  </si>
  <si>
    <t>Slovakia</t>
  </si>
  <si>
    <t>Slovenia</t>
  </si>
  <si>
    <t>Solomon Islands</t>
  </si>
  <si>
    <t>Somalia</t>
  </si>
  <si>
    <t>South Africa</t>
  </si>
  <si>
    <t>Spain</t>
  </si>
  <si>
    <t>Sri Lanka</t>
  </si>
  <si>
    <t>Sudan, The Republic of</t>
  </si>
  <si>
    <t>Suriname</t>
  </si>
  <si>
    <t>Swaziland</t>
  </si>
  <si>
    <t>Sweden</t>
  </si>
  <si>
    <t>Switzerland</t>
  </si>
  <si>
    <t>Syrian Arab Republic</t>
  </si>
  <si>
    <t>Taiwan,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</si>
  <si>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</si>
  <si>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</si>
  <si>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</si>
  <si>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</si>
  <si>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</si>
  <si>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</si>
  <si>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</si>
  <si>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</si>
  <si>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</si>
  <si>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</si>
  <si>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</si>
  <si>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</si>
  <si>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</si>
  <si>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</si>
  <si>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</si>
  <si>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</si>
  <si>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</si>
  <si>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t>
  </si>
  <si>
    <t>Uruguay</t>
  </si>
  <si>
    <t>Uzbekistan</t>
  </si>
  <si>
    <t>Vanuatu</t>
  </si>
  <si>
    <t>Venezuela, Bolivarian Rep. of</t>
  </si>
  <si>
    <t>Vietnam</t>
  </si>
  <si>
    <t xml:space="preserve">Virgin Islands, U.S. </t>
  </si>
  <si>
    <t>Wallis and Futuna</t>
  </si>
  <si>
    <t>West Bank &amp; Gaza Strip</t>
  </si>
  <si>
    <t>Yemen</t>
  </si>
  <si>
    <t>Zambia</t>
  </si>
  <si>
    <t>Zimbabwe</t>
  </si>
  <si>
    <t>Total</t>
  </si>
  <si>
    <t>Total employment</t>
  </si>
  <si>
    <t>Agriculture</t>
  </si>
  <si>
    <t>Industry</t>
  </si>
  <si>
    <t>Service</t>
  </si>
  <si>
    <t xml:space="preserve">Labour force by sector (%) </t>
  </si>
  <si>
    <t>Fatal</t>
  </si>
  <si>
    <t>Fatal occupational injuries</t>
  </si>
  <si>
    <t xml:space="preserve"> Average</t>
  </si>
  <si>
    <t>Non-fatal</t>
  </si>
  <si>
    <t>Occupational injuries in 2010 reported to ILO</t>
  </si>
  <si>
    <t>Amro</t>
  </si>
  <si>
    <t>Correction</t>
  </si>
  <si>
    <t>A</t>
  </si>
  <si>
    <t>B</t>
  </si>
  <si>
    <t>C</t>
  </si>
  <si>
    <t>D</t>
  </si>
  <si>
    <t>E</t>
  </si>
  <si>
    <t>F</t>
  </si>
  <si>
    <t>I</t>
  </si>
  <si>
    <t>J</t>
  </si>
  <si>
    <t>Emro</t>
  </si>
  <si>
    <t xml:space="preserve">Euro </t>
  </si>
  <si>
    <t>Afro</t>
  </si>
  <si>
    <t>Algeria 2004</t>
  </si>
  <si>
    <t xml:space="preserve"> Ghana * </t>
  </si>
  <si>
    <t>Togo 2004</t>
  </si>
  <si>
    <t>Tunisia 2004</t>
  </si>
  <si>
    <t>Searo, Wpro</t>
  </si>
  <si>
    <t>China *</t>
  </si>
  <si>
    <t>G-H,K,M-P</t>
  </si>
  <si>
    <t>High</t>
  </si>
  <si>
    <t>Number of employees</t>
  </si>
  <si>
    <t>A. Agriculture, hunting and forestry</t>
  </si>
  <si>
    <t>B. Fishing</t>
  </si>
  <si>
    <t>C. Mining and quarrying</t>
  </si>
  <si>
    <t>D. Manufacturing</t>
  </si>
  <si>
    <t>E. Electricity, gas and water supply</t>
  </si>
  <si>
    <t>F. Construction</t>
  </si>
  <si>
    <t>G. Wholesale and retail trade; repair of motor vehicles, motorcycles and personal and household goods</t>
  </si>
  <si>
    <t>H. Hotels and restaurants</t>
  </si>
  <si>
    <t>I. Transport, storage and communications</t>
  </si>
  <si>
    <t>J. Financial intermediation</t>
  </si>
  <si>
    <t>K. Real estate, renting and business activities</t>
  </si>
  <si>
    <t>L. Public administration and defence; compulsory social security</t>
  </si>
  <si>
    <t>M. Education</t>
  </si>
  <si>
    <t>N. Health and social work</t>
  </si>
  <si>
    <t>O. Other community, social and personal service activities</t>
  </si>
  <si>
    <t>P. Activities of private households as employers and undifferentiated production activities of private households</t>
  </si>
  <si>
    <t>Q. Extraterritorial organizations and bodies</t>
  </si>
  <si>
    <t>Lower limit</t>
  </si>
  <si>
    <t>Upper limit</t>
  </si>
  <si>
    <t>Occupational injuries reported to ILO</t>
  </si>
  <si>
    <t>Region</t>
  </si>
  <si>
    <t xml:space="preserve">Total employment </t>
  </si>
  <si>
    <t>Euro</t>
  </si>
  <si>
    <t>Searo</t>
  </si>
  <si>
    <t>Wpro</t>
  </si>
  <si>
    <t>Bahrain (2008, ISIC-Rev.3)</t>
  </si>
  <si>
    <t>A. Agriculture, forestry and fishing</t>
  </si>
  <si>
    <t>B. Mining and quarrying</t>
  </si>
  <si>
    <t>C. Manufacturing</t>
  </si>
  <si>
    <t>D. Electricity, gas, steam and air conditioning supply</t>
  </si>
  <si>
    <t>E. Water supply; sewerage, waste management and remediation activities</t>
  </si>
  <si>
    <t>G. Wholesale and retail trade; repair of motor vehicles and motorcycles</t>
  </si>
  <si>
    <t>H. Transportation and storage</t>
  </si>
  <si>
    <t>I. Accommodation and food service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</si>
  <si>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</si>
  <si>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</si>
  <si>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</si>
  <si>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</si>
  <si>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</si>
  <si>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</si>
  <si>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</si>
  <si>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</si>
  <si>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</si>
  <si>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Other service activities</t>
  </si>
  <si>
    <t>T. Activities of households as employers; undifferentiated goods- and services-producing activities of households for own use</t>
  </si>
  <si>
    <t>U. Activities of extraterritorial organizations and bodies</t>
  </si>
  <si>
    <t>X. Not elsewhere classified</t>
  </si>
  <si>
    <t>Poland (2010, ISIC-Rev.4)</t>
  </si>
  <si>
    <t>Latvia (2007, ISIC-Rev.3.1)</t>
  </si>
  <si>
    <t>Lithuania (2010, ISIC Rev. 4)</t>
  </si>
  <si>
    <t>1. Agriculture, Hunting, Forestry and Fishing</t>
  </si>
  <si>
    <t>2. Mining and Quarrying</t>
  </si>
  <si>
    <t>3. Manufacturing</t>
  </si>
  <si>
    <t>4. Electricity, Gas and Water</t>
  </si>
  <si>
    <t>5. Construction</t>
  </si>
  <si>
    <t>6. Wholesale and Retail Trade and Restaurants and Hotels</t>
  </si>
  <si>
    <t>7. Transport, Storage and Communication</t>
  </si>
  <si>
    <t>8. Financing, Insurance, Real Estate and Business Services</t>
  </si>
  <si>
    <t>9. Community, Social and Personal Services</t>
  </si>
  <si>
    <t>0. Activities not Adequately Defined</t>
  </si>
  <si>
    <t>Argentina (2007, ISIC-Rev.2 )</t>
  </si>
  <si>
    <t>Dominican Republic (2008, ISIC-Rev.3.1)</t>
  </si>
  <si>
    <t>Romania (2010, ISIC-Rev.4)</t>
  </si>
  <si>
    <t>Canada (2010, ISIC-Rev.3)</t>
  </si>
  <si>
    <t>Australia (2010, ISIC-Rev.3)</t>
  </si>
  <si>
    <t>Italy (2008, ISIC-Rev.3)</t>
  </si>
  <si>
    <t>Norway (2010, ISIC-Rev.4)</t>
  </si>
  <si>
    <t>Switzerland (2008, ISIC-Rev.3)</t>
  </si>
  <si>
    <t>Singapore (2010, ISIC-Rev.4)</t>
  </si>
  <si>
    <t>Zimbabwe (1996, ISIC-Rev.3 )</t>
  </si>
  <si>
    <t>Zimbabwe (2007, ISIC-Rev.3 )</t>
  </si>
  <si>
    <t>Kyrgyzstan (2008, ISIC-Rev.3)</t>
  </si>
  <si>
    <t>Malaysia (2010-2012 average)**</t>
  </si>
  <si>
    <t>Myanmar (2010-2012 average) **</t>
  </si>
  <si>
    <t>Philippines (2002, 2003, 2006/2007, 2009/2010 average) **</t>
  </si>
  <si>
    <t>Korea, republic of (1998 ISIC-Rev.3 )</t>
  </si>
  <si>
    <t>Macau (2011 ISIC-Rev.3 )</t>
  </si>
  <si>
    <t>Belize (2011-2012 average)</t>
  </si>
  <si>
    <t>Costa Rica (2008)</t>
  </si>
  <si>
    <t>A. Agriculture, hunting and forestry (including B)</t>
  </si>
  <si>
    <t>Turkey (2009-2010 average, ISIC Rev. 4)</t>
  </si>
  <si>
    <t>Thailand (2007)</t>
  </si>
  <si>
    <t>For Bahrain there were no new data, the same numbers are used as previously. 
For Turkey updated numbers are used. For Turkey 2009-2010 averages were used because there were major differences in the numbers for some sectors between these years. 
Otherwise no new reliable data were available at ILOSTAT database.</t>
  </si>
  <si>
    <t>New data were available for Macau, Malaysia, Myanmar and Philippines. Otherwise same data were used as previously.
* From article Liu T, Zhong M, Xing J. 2005. 
** Data is retrieved from Asean OSHNET Scorecard from WSHI Singapore.
Same countries were used represent both Searo and Wpro because together they represented better these regions than if only countries belonging to each region were used.</t>
  </si>
  <si>
    <t>Mexico (2008)</t>
  </si>
  <si>
    <t>Same countries and numbers as previously, except for Belize (new country and data). Otherwise no new reliable data at ILOSTAT database.</t>
  </si>
  <si>
    <t>Croatia (2008, ISIC-Rev.3)</t>
  </si>
  <si>
    <t>Czech Republic (2010, ISIC-Rev.4)</t>
  </si>
  <si>
    <t>Estonia (2010, ISIC-Rev.4)</t>
  </si>
  <si>
    <t>Ukraine (2010, ISIC-Rev.3)</t>
  </si>
  <si>
    <t>Croatia, Latvia, Lithuania, Poland and Romania were used as representative countries as previously. For Croatia, Latvia and Lithuania the same data was used as previously because there were no new reliable data available. For Lithuania and Poland new data were used.
In addition, new data were available for Czech Republic, Estonia, Turkey and Ukraine and these countries were also used as representative countries.
Rates were not corrected by total rates because there were sector specific data available for several countries.</t>
  </si>
  <si>
    <t>France (2008, ISIC-Rev.4)</t>
  </si>
  <si>
    <t>For previously used representative countries, new data were available for Australia, Canada, France, Norway and Singapore. For Italy and Switzerland same data were used as previously.</t>
  </si>
  <si>
    <t>Lower limit is calculated from EU-15 countries except Greece</t>
  </si>
  <si>
    <t>Rate of fatal occupational injuries by sector for Afro region</t>
  </si>
  <si>
    <t>Rate by ISIC</t>
  </si>
  <si>
    <t>Number by ISIC</t>
  </si>
  <si>
    <t>Rate by main sector</t>
  </si>
  <si>
    <t>By ISIC</t>
  </si>
  <si>
    <t>By main sector</t>
  </si>
  <si>
    <t>Rates of fatal occupational injuries are presented per 100,000 employees/employed/insured.</t>
  </si>
  <si>
    <t>Number by main sector (Eq. c)</t>
  </si>
  <si>
    <t>(Eq. B)</t>
  </si>
  <si>
    <t>(Eq. D)</t>
  </si>
  <si>
    <t>(Eq. e)</t>
  </si>
  <si>
    <t>Labour force by sector 
(Eq. a)</t>
  </si>
  <si>
    <t>Avg</t>
  </si>
  <si>
    <t>Rate of fatal occupational injuries by sector for Amro region</t>
  </si>
  <si>
    <t>Rate of fatal occupational injuries by sector for Emro region</t>
  </si>
  <si>
    <t>Rate of fatal occupational injuries by sector for Euro region</t>
  </si>
  <si>
    <t>Rate of fatal occupational injuries by sector for High region</t>
  </si>
  <si>
    <t>Rate of fatal occupational injuries by sector for Searo/Wpro region</t>
  </si>
  <si>
    <t>Revised rates (Eq. g)</t>
  </si>
  <si>
    <t>Rate by main sector (Eg. f)</t>
  </si>
  <si>
    <t>(Equation i)</t>
  </si>
  <si>
    <t>Accidents at work in 2010 reported to Eurostat</t>
  </si>
  <si>
    <t>Upper limit is calculated from Finland, France, Germany</t>
  </si>
  <si>
    <t xml:space="preserve">Lower limit (Eq. j) (0.13) </t>
  </si>
  <si>
    <t>Upper limit (Eq. j) (0.10)</t>
  </si>
  <si>
    <t xml:space="preserve">Lower limit (0.13) </t>
  </si>
  <si>
    <t>Upper limit (0.10)</t>
  </si>
  <si>
    <t>High *</t>
  </si>
  <si>
    <t>Average and best estimates</t>
  </si>
  <si>
    <t>Fatal (Eq. h)</t>
  </si>
  <si>
    <t>Global estimates of occupational accidents</t>
  </si>
  <si>
    <t>* For some of the countries in High region number of accidents with at least four days lost reported to Eurostat, ILO and Statistics Finland are used instead of estimated averages because the estimated averages were underestimations.</t>
  </si>
  <si>
    <t xml:space="preserve">* For Finland the number of fatal occupational accidents was retrieved from Statistics Finland's official statistics </t>
  </si>
  <si>
    <t>* For United States the number of fatal occupational accidents was retrieved from the Census of Fatal Occupational Injuries from the Bureau of Labor Statistics</t>
  </si>
  <si>
    <t>* In column U the estimated averages are supplemented for some countries with data reported to Eurostat, ILO and Statistics Finland. For Finland, France, Germany, Malta, Netherlands, Spain and United Kingdom the number of occupational accidents with at least four days lost reported to Eurostat, ILO and statistics Finland are used instead of numbers calculated with limit values. This is because the estimates calculated with limit values are highly underestimated.</t>
  </si>
  <si>
    <t>* For Taiwan, the number of fatal occupational accidents is calculated separately based on their own numbers.</t>
  </si>
  <si>
    <t>Number of accidents at work in 2010 reported to Eurostat</t>
  </si>
  <si>
    <t>At least four days absence</t>
  </si>
  <si>
    <t>Non-fatal (at least four days absence)</t>
  </si>
  <si>
    <t>*From an article (Mock et al. 2005), lowest estimate. 
There were no new data available from African countries at the ILOSTAT database. Therefore, the same numbers as used previously were used. 
For Zimbabwe the newest rates were quite low. Therefore data from the year 1996 was also used.</t>
  </si>
  <si>
    <t>Fatal work-related diseases 2011</t>
  </si>
  <si>
    <t>Occupational accidents in 2010 and fatal work-related diseases 2011</t>
  </si>
  <si>
    <t>Total mortality</t>
  </si>
  <si>
    <t xml:space="preserve">Occupational accidents in 2010 and fatal work-related diseases in 2011 in Euro region </t>
  </si>
  <si>
    <t xml:space="preserve">Occupational accidents in 2010 and fatal work-related diseases 2011 in Afro region  </t>
  </si>
  <si>
    <t xml:space="preserve">Occupational accidents in 2010 and fatal work-related diseases 2011 in Amro region </t>
  </si>
  <si>
    <t xml:space="preserve">Occupational accidents in 2010 and fatal work-related diseases 2011 in Emro region </t>
  </si>
  <si>
    <t xml:space="preserve">Occupational accidents in 2010 and fatal work-related diseases 2011 in Euro region </t>
  </si>
  <si>
    <t xml:space="preserve">Occupational accidents in 2010 and fatal work-related diseases 2011 in Searo region </t>
  </si>
  <si>
    <t xml:space="preserve">Occupational accidents in 2010 and fatal work-related diseases 2011 in Wpro region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</si>
</sst>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13" x14ac:knownFonts="1">
    <font>
      <sz val="11"/>
      <color theme="1"/>
      <name val="Calibri"/>
      <family val="2"/>
      <scheme val="minor"/>
    </font>
    <font>
      <sz val="11"/>
      <color rgb="FF006100"/>
      <name val="Calibri"/>
      <family val="2"/>
      <scheme val="minor"/>
    </font>
    <font>
      <sz val="11"/>
      <color rgb="FF9C6500"/>
      <name val="Calibri"/>
      <family val="2"/>
      <scheme val="minor"/>
    </font>
    <font>
      <sz val="11"/>
      <color theme="0"/>
      <name val="Calibri"/>
      <family val="2"/>
      <scheme val="minor"/>
    </font>
    <font>
      <sz val="9"/>
      <color theme="1"/>
      <name val="Calibri"/>
      <family val="2"/>
      <scheme val="minor"/>
    </font>
    <font>
      <b/>
      <sz val="9"/>
      <name val="Calibri"/>
      <family val="2"/>
      <scheme val="minor"/>
    </font>
    <font>
      <b/>
      <sz val="9"/>
      <color theme="1"/>
      <name val="Calibri"/>
      <family val="2"/>
      <scheme val="minor"/>
    </font>
    <font>
      <sz val="9"/>
      <name val="Calibri"/>
      <family val="2"/>
      <scheme val="minor"/>
    </font>
    <font>
      <sz val="9"/>
      <color rgb="FFFF0000"/>
      <name val="Calibri"/>
      <family val="2"/>
      <scheme val="minor"/>
    </font>
    <font>
      <sz val="11"/>
      <name val="Calibri"/>
      <family val="2"/>
      <scheme val="minor"/>
    </font>
    <font>
      <b/>
      <sz val="11"/>
      <name val="Calibri"/>
      <family val="2"/>
      <scheme val="minor"/>
    </font>
    <font>
      <b/>
      <sz val="9"/>
      <color theme="1"/>
      <name val="Arial"/>
      <family val="2"/>
    </font>
    <font>
      <sz val="9"/>
      <color theme="1"/>
      <name val="Arial"/>
      <family val="2"/>
    </font>
  </fonts>
  <fills count="8">
    <fill>
      <patternFill patternType="none"/>
    </fill>
    <fill>
      <patternFill patternType="gray125"/>
    </fill>
    <fill>
      <patternFill patternType="solid">
        <fgColor rgb="FFC6EFCE"/>
      </patternFill>
    </fill>
    <fill>
      <patternFill patternType="solid">
        <fgColor rgb="FFFFEB9C"/>
      </patternFill>
    </fill>
    <fill>
      <patternFill patternType="solid">
        <fgColor theme="8"/>
      </patternFill>
    </fill>
    <fill>
      <patternFill patternType="solid">
        <fgColor rgb="FF92D050"/>
        <bgColor indexed="64"/>
      </patternFill>
    </fill>
    <fill>
      <patternFill patternType="solid">
        <fgColor theme="4" tint="0.59999389629810485"/>
        <bgColor indexed="64"/>
      </patternFill>
    </fill>
    <fill>
      <patternFill patternType="solid">
        <fgColor theme="4" tint="0.79998168889431442"/>
        <bgColor indexed="64"/>
      </patternFill>
    </fill>
  </fills>
  <borders count="10">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cellStyleXfs>
  <cellXfs count="256">
    <xf numFmtId="0" fontId="0" fillId="0" borderId="0" xfId="0"/>
    <xf numFmtId="0" fontId="4" fillId="0" borderId="0" xfId="0" applyFont="1"/>
    <xf numFmtId="49" fontId="5" fillId="0" borderId="0" xfId="0" applyNumberFormat="1" applyFont="1" applyFill="1" applyBorder="1" applyAlignment="1"/>
    <xf numFmtId="49" fontId="5" fillId="0" borderId="0" xfId="0" applyNumberFormat="1" applyFont="1" applyFill="1" applyAlignment="1">
      <alignment wrapText="1"/>
    </xf>
    <xf numFmtId="49" fontId="5" fillId="0" borderId="0" xfId="0" applyNumberFormat="1" applyFont="1" applyFill="1" applyBorder="1" applyAlignment="1">
      <alignment wrapText="1"/>
    </xf>
    <xf numFmtId="0" fontId="6" fillId="0" borderId="0" xfId="0" applyFont="1"/>
    <xf numFmtId="3" fontId="7" fillId="0" borderId="0" xfId="0" applyNumberFormat="1" applyFont="1" applyFill="1" applyBorder="1" applyAlignment="1">
      <alignment horizontal="left"/>
    </xf>
    <xf numFmtId="3" fontId="7" fillId="0" borderId="0" xfId="0" applyNumberFormat="1" applyFont="1" applyFill="1" applyBorder="1"/>
    <xf numFmtId="3" fontId="7" fillId="0" borderId="0" xfId="0" applyNumberFormat="1" applyFont="1" applyFill="1"/>
    <xf numFmtId="3" fontId="7" fillId="0" borderId="0" xfId="2" applyNumberFormat="1" applyFont="1" applyFill="1" applyBorder="1"/>
    <xf numFmtId="3" fontId="7" fillId="0" borderId="0" xfId="3" applyNumberFormat="1" applyFont="1" applyFill="1" applyBorder="1"/>
    <xf numFmtId="3" fontId="7" fillId="0" borderId="0" xfId="0" applyNumberFormat="1" applyFont="1"/>
    <xf numFmtId="0" fontId="7" fillId="0" borderId="0" xfId="0" applyFont="1" applyFill="1" applyBorder="1"/>
    <xf numFmtId="3" fontId="7" fillId="0" borderId="0" xfId="1" applyNumberFormat="1" applyFont="1" applyFill="1" applyBorder="1"/>
    <xf numFmtId="3" fontId="7" fillId="0" borderId="0" xfId="0" applyNumberFormat="1" applyFont="1" applyFill="1" applyBorder="1" applyAlignment="1" applyProtection="1">
      <alignment horizontal="left"/>
      <protection locked="0"/>
    </xf>
    <xf numFmtId="0" fontId="7" fillId="0" borderId="0" xfId="0" applyFont="1" applyFill="1" applyBorder="1" applyProtection="1">
      <protection locked="0"/>
    </xf>
    <xf numFmtId="3" fontId="4" fillId="0" borderId="0" xfId="0" applyNumberFormat="1" applyFont="1"/>
    <xf numFmtId="49" fontId="7" fillId="0" borderId="0" xfId="0" applyNumberFormat="1" applyFont="1" applyFill="1" applyBorder="1"/>
    <xf numFmtId="3" fontId="5" fillId="0" borderId="0" xfId="0" applyNumberFormat="1" applyFont="1" applyFill="1" applyBorder="1" applyAlignment="1">
      <alignment wrapText="1"/>
    </xf>
    <xf numFmtId="164" fontId="7" fillId="0" borderId="0" xfId="0" applyNumberFormat="1" applyFont="1" applyFill="1"/>
    <xf numFmtId="0" fontId="4" fillId="0" borderId="0" xfId="0" applyFont="1" applyFill="1"/>
    <xf numFmtId="164" fontId="4" fillId="0" borderId="0" xfId="0" applyNumberFormat="1" applyFont="1" applyFill="1"/>
    <xf numFmtId="164" fontId="7" fillId="0" borderId="0" xfId="0" applyNumberFormat="1" applyFont="1" applyFill="1" applyBorder="1" applyAlignment="1">
      <alignment horizontal="right"/>
    </xf>
    <xf numFmtId="164" fontId="7" fillId="0" borderId="0" xfId="0" applyNumberFormat="1" applyFont="1" applyAlignment="1">
      <alignment horizontal="right"/>
    </xf>
    <xf numFmtId="164" fontId="7" fillId="0" borderId="0" xfId="0" applyNumberFormat="1" applyFont="1" applyFill="1" applyAlignment="1">
      <alignment horizontal="right"/>
    </xf>
    <xf numFmtId="164" fontId="7" fillId="0" borderId="0" xfId="2" applyNumberFormat="1" applyFont="1" applyFill="1" applyBorder="1"/>
    <xf numFmtId="164" fontId="7" fillId="0" borderId="0" xfId="3" applyNumberFormat="1" applyFont="1" applyFill="1" applyBorder="1"/>
    <xf numFmtId="164" fontId="7" fillId="0" borderId="0" xfId="0" applyNumberFormat="1" applyFont="1" applyFill="1" applyBorder="1"/>
    <xf numFmtId="3" fontId="5" fillId="0" borderId="0" xfId="0" applyNumberFormat="1" applyFont="1" applyBorder="1" applyAlignment="1">
      <alignment wrapText="1"/>
    </xf>
    <xf numFmtId="164" fontId="7" fillId="0" borderId="0" xfId="0" applyNumberFormat="1" applyFont="1" applyBorder="1"/>
    <xf numFmtId="3" fontId="4" fillId="0" borderId="0" xfId="0" applyNumberFormat="1" applyFont="1" applyFill="1"/>
    <xf numFmtId="3" fontId="6" fillId="0" borderId="0" xfId="0" applyNumberFormat="1" applyFont="1"/>
    <xf numFmtId="0" fontId="6" fillId="0" borderId="0" xfId="0" applyFont="1" applyFill="1"/>
    <xf numFmtId="3" fontId="6" fillId="0" borderId="0" xfId="0" applyNumberFormat="1" applyFont="1" applyFill="1"/>
    <xf numFmtId="1" fontId="4" fillId="0" borderId="0" xfId="0" applyNumberFormat="1" applyFont="1" applyFill="1"/>
    <xf numFmtId="3" fontId="4" fillId="0" borderId="0" xfId="0" applyNumberFormat="1" applyFont="1" applyFill="1" applyAlignment="1">
      <alignment vertical="center"/>
    </xf>
    <xf numFmtId="2" fontId="4" fillId="0" borderId="0" xfId="0" applyNumberFormat="1" applyFont="1" applyFill="1"/>
    <xf numFmtId="0" fontId="7" fillId="0" borderId="0" xfId="0" applyFont="1"/>
    <xf numFmtId="3" fontId="7" fillId="0" borderId="0" xfId="0" applyNumberFormat="1" applyFont="1" applyBorder="1"/>
    <xf numFmtId="0" fontId="5" fillId="0" borderId="3" xfId="0" applyFont="1" applyBorder="1"/>
    <xf numFmtId="3" fontId="5" fillId="0" borderId="3" xfId="0" applyNumberFormat="1" applyFont="1" applyFill="1" applyBorder="1" applyAlignment="1">
      <alignment horizontal="center" wrapText="1"/>
    </xf>
    <xf numFmtId="0" fontId="9" fillId="0" borderId="0" xfId="0" applyFont="1" applyAlignment="1">
      <alignment wrapText="1"/>
    </xf>
    <xf numFmtId="0" fontId="0" fillId="0" borderId="0" xfId="0" applyFont="1"/>
    <xf numFmtId="3" fontId="5" fillId="0" borderId="3" xfId="0" applyNumberFormat="1" applyFont="1" applyBorder="1"/>
    <xf numFmtId="0" fontId="0" fillId="5" borderId="0" xfId="0" applyFont="1" applyFill="1"/>
    <xf numFmtId="164" fontId="0" fillId="5" borderId="0" xfId="0" applyNumberFormat="1" applyFont="1" applyFill="1"/>
    <xf numFmtId="0" fontId="0" fillId="5" borderId="0" xfId="0" applyFont="1" applyFill="1" applyAlignment="1">
      <alignment horizontal="right"/>
    </xf>
    <xf numFmtId="3" fontId="0" fillId="5" borderId="0" xfId="0" applyNumberFormat="1" applyFont="1" applyFill="1"/>
    <xf numFmtId="3" fontId="0" fillId="5" borderId="0" xfId="0" applyNumberFormat="1" applyFont="1" applyFill="1" applyAlignment="1">
      <alignment horizontal="right"/>
    </xf>
    <xf numFmtId="2" fontId="0" fillId="5" borderId="0" xfId="0" applyNumberFormat="1" applyFont="1" applyFill="1" applyAlignment="1">
      <alignment horizontal="right"/>
    </xf>
    <xf numFmtId="164" fontId="0" fillId="0" borderId="0" xfId="0" applyNumberFormat="1" applyFont="1"/>
    <xf numFmtId="0" fontId="0" fillId="0" borderId="0" xfId="0" applyFont="1" applyAlignment="1">
      <alignment horizontal="right"/>
    </xf>
    <xf numFmtId="3" fontId="0" fillId="0" borderId="0" xfId="0" applyNumberFormat="1" applyFont="1"/>
    <xf numFmtId="3" fontId="0" fillId="0" borderId="0" xfId="0" applyNumberFormat="1" applyFont="1" applyAlignment="1">
      <alignment horizontal="right"/>
    </xf>
    <xf numFmtId="2" fontId="0" fillId="0" borderId="0" xfId="0" applyNumberFormat="1" applyFont="1" applyAlignment="1">
      <alignment horizontal="right"/>
    </xf>
    <xf numFmtId="0" fontId="0" fillId="6" borderId="3" xfId="0" applyFont="1" applyFill="1" applyBorder="1"/>
    <xf numFmtId="0" fontId="0" fillId="0" borderId="1" xfId="0" applyFont="1" applyBorder="1"/>
    <xf numFmtId="164" fontId="0" fillId="0" borderId="1" xfId="0" applyNumberFormat="1" applyFont="1" applyBorder="1"/>
    <xf numFmtId="3" fontId="0" fillId="0" borderId="1" xfId="0" applyNumberFormat="1" applyFont="1" applyBorder="1"/>
    <xf numFmtId="3" fontId="0" fillId="0" borderId="1" xfId="0" applyNumberFormat="1" applyFont="1" applyBorder="1" applyAlignment="1">
      <alignment horizontal="right"/>
    </xf>
    <xf numFmtId="164" fontId="0" fillId="0" borderId="1" xfId="0" applyNumberFormat="1" applyFont="1" applyBorder="1" applyAlignment="1">
      <alignment horizontal="right"/>
    </xf>
    <xf numFmtId="0" fontId="0" fillId="0" borderId="2" xfId="0" applyFont="1" applyBorder="1"/>
    <xf numFmtId="164" fontId="0" fillId="0" borderId="2" xfId="0" applyNumberFormat="1" applyFont="1" applyBorder="1"/>
    <xf numFmtId="3" fontId="0" fillId="0" borderId="2" xfId="0" applyNumberFormat="1" applyFont="1" applyBorder="1"/>
    <xf numFmtId="0" fontId="0" fillId="0" borderId="0" xfId="0" applyFont="1" applyBorder="1"/>
    <xf numFmtId="164" fontId="0" fillId="0" borderId="0" xfId="0" applyNumberFormat="1" applyFont="1" applyBorder="1"/>
    <xf numFmtId="3" fontId="0" fillId="0" borderId="0" xfId="0" applyNumberFormat="1" applyFont="1" applyBorder="1"/>
    <xf numFmtId="0" fontId="0" fillId="0" borderId="3" xfId="0" applyFont="1" applyBorder="1"/>
    <xf numFmtId="164" fontId="0" fillId="0" borderId="3" xfId="0" applyNumberFormat="1" applyFont="1" applyBorder="1"/>
    <xf numFmtId="3" fontId="0" fillId="0" borderId="3" xfId="0" applyNumberFormat="1" applyFont="1" applyBorder="1"/>
    <xf numFmtId="0" fontId="0" fillId="0" borderId="0" xfId="0" applyFont="1" applyAlignment="1">
      <alignment horizontal="center"/>
    </xf>
    <xf numFmtId="0" fontId="0" fillId="6" borderId="0" xfId="0" applyFont="1" applyFill="1"/>
    <xf numFmtId="0" fontId="0" fillId="0" borderId="1" xfId="0" applyNumberFormat="1" applyFont="1" applyBorder="1"/>
    <xf numFmtId="0" fontId="0" fillId="0" borderId="1" xfId="0" applyFont="1" applyBorder="1" applyAlignment="1">
      <alignment horizontal="right"/>
    </xf>
    <xf numFmtId="3" fontId="0" fillId="0" borderId="3" xfId="0" applyNumberFormat="1" applyFont="1" applyBorder="1" applyAlignment="1">
      <alignment horizontal="right"/>
    </xf>
    <xf numFmtId="0" fontId="0" fillId="0" borderId="0" xfId="0" applyFont="1" applyFill="1"/>
    <xf numFmtId="0" fontId="0" fillId="0" borderId="0" xfId="0" applyNumberFormat="1" applyFont="1" applyFill="1"/>
    <xf numFmtId="164" fontId="0" fillId="0" borderId="0" xfId="0" applyNumberFormat="1" applyFont="1" applyAlignment="1"/>
    <xf numFmtId="0" fontId="0" fillId="0" borderId="2" xfId="0" applyNumberFormat="1" applyFont="1" applyBorder="1"/>
    <xf numFmtId="0" fontId="0" fillId="0" borderId="0" xfId="0" applyNumberFormat="1" applyFont="1" applyBorder="1"/>
    <xf numFmtId="0" fontId="0" fillId="0" borderId="2" xfId="0" applyFont="1" applyBorder="1" applyAlignment="1">
      <alignment horizontal="right"/>
    </xf>
    <xf numFmtId="2" fontId="0" fillId="0" borderId="2" xfId="0" applyNumberFormat="1" applyFont="1" applyBorder="1" applyAlignment="1">
      <alignment horizontal="right"/>
    </xf>
    <xf numFmtId="0" fontId="0" fillId="0" borderId="0" xfId="0" applyFont="1" applyBorder="1" applyAlignment="1">
      <alignment horizontal="right"/>
    </xf>
    <xf numFmtId="3" fontId="0" fillId="0" borderId="0" xfId="0" applyNumberFormat="1" applyFont="1" applyFill="1" applyBorder="1" applyAlignment="1">
      <alignment horizontal="right"/>
    </xf>
    <xf numFmtId="2" fontId="0" fillId="0" borderId="0" xfId="0" applyNumberFormat="1" applyFont="1" applyBorder="1" applyAlignment="1">
      <alignment horizontal="right"/>
    </xf>
    <xf numFmtId="3" fontId="0" fillId="0" borderId="0" xfId="0" applyNumberFormat="1" applyFont="1" applyBorder="1" applyAlignment="1">
      <alignment horizontal="right"/>
    </xf>
    <xf numFmtId="0" fontId="0" fillId="0" borderId="0" xfId="0" applyFont="1" applyFill="1" applyBorder="1"/>
    <xf numFmtId="3" fontId="0" fillId="0" borderId="0" xfId="0" applyNumberFormat="1" applyFont="1" applyFill="1" applyBorder="1"/>
    <xf numFmtId="164" fontId="0" fillId="0" borderId="0" xfId="0" applyNumberFormat="1" applyFont="1" applyBorder="1" applyAlignment="1"/>
    <xf numFmtId="0" fontId="0" fillId="0" borderId="0" xfId="0" applyFont="1" applyAlignment="1"/>
    <xf numFmtId="3" fontId="0" fillId="0" borderId="1" xfId="0" applyNumberFormat="1" applyFont="1" applyBorder="1" applyAlignment="1"/>
    <xf numFmtId="164" fontId="0" fillId="0" borderId="1" xfId="0" applyNumberFormat="1" applyFont="1" applyBorder="1" applyAlignment="1"/>
    <xf numFmtId="0" fontId="0" fillId="0" borderId="0" xfId="0" applyNumberFormat="1" applyFont="1"/>
    <xf numFmtId="164" fontId="0" fillId="0" borderId="0" xfId="0" applyNumberFormat="1" applyFont="1" applyFill="1"/>
    <xf numFmtId="0" fontId="0" fillId="0" borderId="0" xfId="0" applyFont="1" applyFill="1" applyAlignment="1">
      <alignment horizontal="right"/>
    </xf>
    <xf numFmtId="3" fontId="0" fillId="0" borderId="0" xfId="0" applyNumberFormat="1" applyFont="1" applyFill="1"/>
    <xf numFmtId="3" fontId="0" fillId="0" borderId="0" xfId="0" applyNumberFormat="1" applyFont="1" applyFill="1" applyAlignment="1">
      <alignment horizontal="right"/>
    </xf>
    <xf numFmtId="2" fontId="0" fillId="0" borderId="0" xfId="0" applyNumberFormat="1" applyFont="1" applyFill="1" applyAlignment="1">
      <alignment horizontal="right"/>
    </xf>
    <xf numFmtId="3" fontId="0" fillId="0" borderId="2" xfId="0" applyNumberFormat="1" applyFont="1" applyBorder="1" applyAlignment="1"/>
    <xf numFmtId="3" fontId="0" fillId="0" borderId="3" xfId="0" applyNumberFormat="1" applyFont="1" applyBorder="1" applyAlignment="1"/>
    <xf numFmtId="3" fontId="0" fillId="0" borderId="0" xfId="0" applyNumberFormat="1" applyFont="1" applyBorder="1" applyAlignment="1"/>
    <xf numFmtId="164" fontId="0" fillId="0" borderId="0" xfId="0" applyNumberFormat="1" applyFont="1" applyAlignment="1">
      <alignment horizontal="center"/>
    </xf>
    <xf numFmtId="164" fontId="0" fillId="0" borderId="0" xfId="0" applyNumberFormat="1" applyFont="1" applyFill="1" applyAlignment="1"/>
    <xf numFmtId="164" fontId="0" fillId="0" borderId="0" xfId="0" applyNumberFormat="1" applyFont="1" applyFill="1" applyAlignment="1">
      <alignment horizontal="center"/>
    </xf>
    <xf numFmtId="0" fontId="10" fillId="5" borderId="0" xfId="0" applyFont="1" applyFill="1"/>
    <xf numFmtId="0" fontId="9" fillId="6" borderId="0" xfId="0" applyFont="1" applyFill="1" applyBorder="1"/>
    <xf numFmtId="2" fontId="9" fillId="6" borderId="0" xfId="0" applyNumberFormat="1" applyFont="1" applyFill="1" applyBorder="1" applyAlignment="1">
      <alignment horizontal="center"/>
    </xf>
    <xf numFmtId="0" fontId="9" fillId="6" borderId="3" xfId="0" applyFont="1" applyFill="1" applyBorder="1"/>
    <xf numFmtId="164" fontId="9" fillId="0" borderId="0" xfId="0" applyNumberFormat="1" applyFont="1"/>
    <xf numFmtId="0" fontId="9" fillId="0" borderId="0" xfId="0" applyFont="1"/>
    <xf numFmtId="0" fontId="9" fillId="0" borderId="0" xfId="0" applyNumberFormat="1" applyFont="1" applyFill="1"/>
    <xf numFmtId="0" fontId="9" fillId="6" borderId="0" xfId="0" applyFont="1" applyFill="1"/>
    <xf numFmtId="0" fontId="9" fillId="0" borderId="2" xfId="0" applyFont="1" applyFill="1" applyBorder="1"/>
    <xf numFmtId="0" fontId="9" fillId="0" borderId="2" xfId="0" applyFont="1" applyBorder="1"/>
    <xf numFmtId="0" fontId="9" fillId="0" borderId="0" xfId="0" applyFont="1" applyBorder="1"/>
    <xf numFmtId="0" fontId="9" fillId="0" borderId="3" xfId="0" applyFont="1" applyBorder="1"/>
    <xf numFmtId="0" fontId="9" fillId="0" borderId="0" xfId="0" applyFont="1" applyBorder="1" applyAlignment="1">
      <alignment horizontal="center"/>
    </xf>
    <xf numFmtId="0" fontId="9" fillId="0" borderId="1" xfId="0" applyFont="1" applyBorder="1"/>
    <xf numFmtId="0" fontId="9" fillId="0" borderId="0" xfId="0" applyFont="1" applyBorder="1" applyAlignment="1"/>
    <xf numFmtId="0" fontId="9" fillId="0" borderId="2" xfId="0" applyFont="1" applyBorder="1" applyAlignment="1">
      <alignment horizontal="center"/>
    </xf>
    <xf numFmtId="0" fontId="9" fillId="0" borderId="1" xfId="0" applyFont="1" applyBorder="1" applyAlignment="1"/>
    <xf numFmtId="0" fontId="9" fillId="0" borderId="0" xfId="0" applyFont="1" applyFill="1" applyBorder="1"/>
    <xf numFmtId="0" fontId="9" fillId="0" borderId="1" xfId="0" applyFont="1" applyBorder="1" applyAlignment="1">
      <alignment horizontal="center"/>
    </xf>
    <xf numFmtId="0" fontId="9" fillId="0" borderId="0" xfId="0" applyFont="1" applyAlignment="1">
      <alignment horizontal="center"/>
    </xf>
    <xf numFmtId="164" fontId="9" fillId="0" borderId="0" xfId="0" applyNumberFormat="1" applyFont="1" applyFill="1"/>
    <xf numFmtId="2" fontId="0" fillId="0" borderId="1" xfId="0" applyNumberFormat="1" applyFont="1" applyBorder="1" applyAlignment="1">
      <alignment horizontal="right"/>
    </xf>
    <xf numFmtId="2" fontId="0" fillId="0" borderId="3" xfId="0" applyNumberFormat="1" applyFont="1" applyBorder="1" applyAlignment="1">
      <alignment horizontal="right"/>
    </xf>
    <xf numFmtId="0" fontId="0" fillId="0" borderId="0" xfId="0" applyFont="1" applyFill="1" applyAlignment="1"/>
    <xf numFmtId="0" fontId="9" fillId="0" borderId="0" xfId="0" applyFont="1" applyBorder="1" applyAlignment="1">
      <alignment horizontal="center"/>
    </xf>
    <xf numFmtId="0" fontId="0" fillId="0" borderId="0" xfId="0" applyFont="1" applyBorder="1" applyAlignment="1">
      <alignment horizontal="right"/>
    </xf>
    <xf numFmtId="164" fontId="0" fillId="0" borderId="0" xfId="0" applyNumberFormat="1" applyFont="1" applyBorder="1" applyAlignment="1"/>
    <xf numFmtId="3" fontId="4" fillId="0" borderId="0" xfId="0" applyNumberFormat="1" applyFont="1" applyBorder="1"/>
    <xf numFmtId="0" fontId="4" fillId="0" borderId="0" xfId="0" applyNumberFormat="1" applyFont="1" applyBorder="1" applyAlignment="1">
      <alignment horizontal="right"/>
    </xf>
    <xf numFmtId="0" fontId="0" fillId="0" borderId="0" xfId="0" applyFont="1" applyAlignment="1">
      <alignment wrapText="1"/>
    </xf>
    <xf numFmtId="3" fontId="7" fillId="0" borderId="0" xfId="0" applyNumberFormat="1" applyFont="1" applyBorder="1" applyAlignment="1">
      <alignment vertical="center" wrapText="1"/>
    </xf>
    <xf numFmtId="0" fontId="7" fillId="0" borderId="0" xfId="0" applyNumberFormat="1" applyFont="1" applyBorder="1" applyAlignment="1">
      <alignment horizontal="right"/>
    </xf>
    <xf numFmtId="164" fontId="8" fillId="0" borderId="0" xfId="0" applyNumberFormat="1" applyFont="1" applyFill="1" applyBorder="1"/>
    <xf numFmtId="0" fontId="7" fillId="0" borderId="0" xfId="0" applyNumberFormat="1" applyFont="1" applyFill="1" applyBorder="1" applyAlignment="1">
      <alignment horizontal="right"/>
    </xf>
    <xf numFmtId="164" fontId="8" fillId="0" borderId="0" xfId="0" applyNumberFormat="1" applyFont="1" applyFill="1"/>
    <xf numFmtId="0" fontId="4" fillId="0" borderId="0" xfId="0" applyFont="1" applyFill="1" applyAlignment="1"/>
    <xf numFmtId="165" fontId="4" fillId="0" borderId="0" xfId="0" applyNumberFormat="1" applyFont="1" applyFill="1"/>
    <xf numFmtId="3" fontId="7" fillId="0" borderId="0" xfId="0" applyNumberFormat="1" applyFont="1" applyFill="1" applyBorder="1" applyAlignment="1">
      <alignment vertical="center" wrapText="1"/>
    </xf>
    <xf numFmtId="0" fontId="4" fillId="7" borderId="0" xfId="0" applyFont="1" applyFill="1"/>
    <xf numFmtId="3" fontId="0" fillId="6" borderId="0" xfId="0" applyNumberFormat="1" applyFont="1" applyFill="1" applyBorder="1" applyAlignment="1">
      <alignment horizontal="center"/>
    </xf>
    <xf numFmtId="164" fontId="0" fillId="0" borderId="0" xfId="0" applyNumberFormat="1" applyFont="1" applyFill="1" applyAlignment="1">
      <alignment horizontal="center"/>
    </xf>
    <xf numFmtId="3" fontId="5" fillId="0" borderId="0" xfId="0" applyNumberFormat="1" applyFont="1" applyFill="1" applyBorder="1" applyAlignment="1">
      <alignment horizontal="center" wrapText="1"/>
    </xf>
    <xf numFmtId="3" fontId="4" fillId="0" borderId="0" xfId="0" applyNumberFormat="1" applyFont="1" applyFill="1" applyBorder="1"/>
    <xf numFmtId="0" fontId="4" fillId="0" borderId="0" xfId="0" applyNumberFormat="1" applyFont="1" applyFill="1" applyBorder="1" applyAlignment="1">
      <alignment horizontal="right"/>
    </xf>
    <xf numFmtId="0" fontId="4" fillId="0" borderId="0" xfId="0" applyFont="1" applyFill="1" applyBorder="1" applyAlignment="1">
      <alignment horizontal="right"/>
    </xf>
    <xf numFmtId="3" fontId="4" fillId="0" borderId="0" xfId="0" applyNumberFormat="1" applyFont="1" applyFill="1" applyBorder="1" applyAlignment="1">
      <alignment horizontal="right"/>
    </xf>
    <xf numFmtId="3" fontId="7" fillId="0" borderId="0" xfId="0" applyNumberFormat="1" applyFont="1" applyFill="1" applyBorder="1" applyAlignment="1">
      <alignment horizontal="right"/>
    </xf>
    <xf numFmtId="3" fontId="5" fillId="0" borderId="3" xfId="0" applyNumberFormat="1" applyFont="1" applyBorder="1" applyAlignment="1">
      <alignment horizontal="center" wrapText="1"/>
    </xf>
    <xf numFmtId="164" fontId="0" fillId="0" borderId="0" xfId="0" applyNumberFormat="1"/>
    <xf numFmtId="0" fontId="4" fillId="0" borderId="2" xfId="0" applyFont="1" applyBorder="1" applyAlignment="1">
      <alignment horizontal="center"/>
    </xf>
    <xf numFmtId="0" fontId="7" fillId="0" borderId="0" xfId="0" applyFont="1" applyBorder="1" applyAlignment="1">
      <alignment horizontal="center"/>
    </xf>
    <xf numFmtId="3" fontId="7" fillId="0" borderId="0" xfId="0" applyNumberFormat="1" applyFont="1" applyFill="1" applyBorder="1" applyAlignment="1">
      <alignment horizontal="center"/>
    </xf>
    <xf numFmtId="3" fontId="7" fillId="0" borderId="0" xfId="0" applyNumberFormat="1" applyFont="1" applyBorder="1" applyAlignment="1">
      <alignment horizontal="center"/>
    </xf>
    <xf numFmtId="2" fontId="0" fillId="0" borderId="0" xfId="0" applyNumberFormat="1"/>
    <xf numFmtId="3" fontId="5" fillId="0" borderId="0" xfId="0" applyNumberFormat="1" applyFont="1" applyFill="1" applyBorder="1" applyAlignment="1">
      <alignment horizontal="center" wrapText="1"/>
    </xf>
    <xf numFmtId="164" fontId="0" fillId="0" borderId="0" xfId="0" applyNumberFormat="1" applyFont="1" applyBorder="1" applyAlignment="1">
      <alignment horizontal="right"/>
    </xf>
    <xf numFmtId="3" fontId="0" fillId="0" borderId="0" xfId="0" applyNumberFormat="1" applyFont="1" applyBorder="1" applyAlignment="1">
      <alignment horizontal="right"/>
    </xf>
    <xf numFmtId="0" fontId="9" fillId="0" borderId="0" xfId="0" applyFont="1" applyBorder="1" applyAlignment="1">
      <alignment horizontal="center"/>
    </xf>
    <xf numFmtId="3" fontId="0" fillId="0" borderId="2" xfId="0" applyNumberFormat="1" applyFont="1" applyFill="1" applyBorder="1" applyAlignment="1">
      <alignment horizontal="right"/>
    </xf>
    <xf numFmtId="3" fontId="0" fillId="0" borderId="0" xfId="0" applyNumberFormat="1" applyFont="1" applyFill="1" applyAlignment="1">
      <alignment horizontal="right"/>
    </xf>
    <xf numFmtId="0" fontId="4" fillId="0" borderId="0" xfId="0" applyFont="1" applyFill="1" applyAlignment="1">
      <alignment vertical="top" wrapText="1"/>
    </xf>
    <xf numFmtId="3" fontId="0" fillId="0" borderId="0" xfId="0" applyNumberFormat="1" applyFont="1" applyFill="1" applyBorder="1" applyAlignment="1"/>
    <xf numFmtId="3" fontId="0" fillId="6" borderId="3" xfId="0" applyNumberFormat="1" applyFont="1" applyFill="1" applyBorder="1" applyAlignment="1">
      <alignment horizontal="center"/>
    </xf>
    <xf numFmtId="1" fontId="11" fillId="0" borderId="0" xfId="0" applyNumberFormat="1" applyFont="1"/>
    <xf numFmtId="0" fontId="6" fillId="0" borderId="0" xfId="0" applyFont="1" applyAlignment="1">
      <alignment horizontal="left" wrapText="1"/>
    </xf>
    <xf numFmtId="0" fontId="6" fillId="0" borderId="3" xfId="0" applyFont="1" applyBorder="1" applyAlignment="1">
      <alignment horizontal="left" wrapText="1"/>
    </xf>
    <xf numFmtId="3" fontId="5" fillId="0" borderId="3" xfId="0" applyNumberFormat="1" applyFont="1" applyFill="1" applyBorder="1"/>
    <xf numFmtId="0" fontId="11" fillId="0" borderId="0" xfId="0" applyFont="1" applyAlignment="1">
      <alignment horizontal="center"/>
    </xf>
    <xf numFmtId="1" fontId="12" fillId="0" borderId="0" xfId="0" applyNumberFormat="1" applyFont="1" applyFill="1" applyBorder="1"/>
    <xf numFmtId="1" fontId="12" fillId="0" borderId="0" xfId="0" applyNumberFormat="1" applyFont="1"/>
    <xf numFmtId="3" fontId="6" fillId="0" borderId="3" xfId="0" applyNumberFormat="1" applyFont="1" applyBorder="1"/>
    <xf numFmtId="3" fontId="5" fillId="0" borderId="2" xfId="0" applyNumberFormat="1" applyFont="1" applyBorder="1" applyAlignment="1">
      <alignment horizontal="center" wrapText="1"/>
    </xf>
    <xf numFmtId="3" fontId="5" fillId="0" borderId="3" xfId="0" applyNumberFormat="1" applyFont="1" applyBorder="1" applyAlignment="1">
      <alignment horizontal="center" wrapText="1"/>
    </xf>
    <xf numFmtId="3" fontId="5" fillId="0" borderId="1" xfId="0" applyNumberFormat="1" applyFont="1" applyBorder="1" applyAlignment="1">
      <alignment horizontal="center" wrapText="1"/>
    </xf>
    <xf numFmtId="3" fontId="5" fillId="0" borderId="0"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0" xfId="0" applyNumberFormat="1" applyFont="1" applyBorder="1" applyAlignment="1">
      <alignment horizontal="center" wrapText="1"/>
    </xf>
    <xf numFmtId="0" fontId="4" fillId="0" borderId="0" xfId="0" applyFont="1" applyFill="1" applyAlignment="1">
      <alignment horizontal="left" wrapText="1"/>
    </xf>
    <xf numFmtId="0" fontId="4" fillId="0" borderId="0" xfId="0" applyFont="1" applyFill="1" applyAlignment="1">
      <alignment horizontal="left"/>
    </xf>
    <xf numFmtId="0" fontId="4" fillId="0" borderId="0" xfId="0" applyFont="1" applyFill="1" applyAlignment="1">
      <alignment horizontal="left" vertical="top" wrapText="1"/>
    </xf>
    <xf numFmtId="3" fontId="5" fillId="0" borderId="0" xfId="0" applyNumberFormat="1" applyFont="1" applyFill="1" applyBorder="1" applyAlignment="1">
      <alignment horizontal="center" wrapText="1"/>
    </xf>
    <xf numFmtId="49" fontId="5" fillId="0" borderId="0" xfId="0" applyNumberFormat="1" applyFont="1" applyFill="1" applyBorder="1" applyAlignment="1">
      <alignment horizontal="center" wrapText="1"/>
    </xf>
    <xf numFmtId="3" fontId="5" fillId="0" borderId="0" xfId="0" applyNumberFormat="1" applyFont="1" applyFill="1" applyBorder="1" applyAlignment="1">
      <alignment horizontal="center"/>
    </xf>
    <xf numFmtId="3" fontId="6" fillId="0" borderId="0" xfId="0" applyNumberFormat="1" applyFont="1" applyFill="1" applyBorder="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wrapText="1"/>
    </xf>
    <xf numFmtId="0" fontId="6" fillId="0" borderId="0" xfId="0" applyFont="1" applyAlignment="1">
      <alignment horizontal="center"/>
    </xf>
    <xf numFmtId="3" fontId="5" fillId="0" borderId="0" xfId="0" applyNumberFormat="1" applyFont="1" applyBorder="1" applyAlignment="1">
      <alignment horizontal="center"/>
    </xf>
    <xf numFmtId="3" fontId="0" fillId="0" borderId="2" xfId="0" applyNumberFormat="1" applyFont="1" applyBorder="1" applyAlignment="1">
      <alignment horizontal="right"/>
    </xf>
    <xf numFmtId="3" fontId="0" fillId="0" borderId="0" xfId="0" applyNumberFormat="1" applyFont="1" applyBorder="1" applyAlignment="1">
      <alignment horizontal="right"/>
    </xf>
    <xf numFmtId="3" fontId="0" fillId="0" borderId="3" xfId="0" applyNumberFormat="1" applyFont="1" applyBorder="1" applyAlignment="1">
      <alignment horizontal="right"/>
    </xf>
    <xf numFmtId="164" fontId="0" fillId="0" borderId="2" xfId="0" applyNumberFormat="1" applyFont="1" applyBorder="1" applyAlignment="1">
      <alignment horizontal="right"/>
    </xf>
    <xf numFmtId="164" fontId="0" fillId="0" borderId="0" xfId="0" applyNumberFormat="1" applyFont="1" applyBorder="1" applyAlignment="1">
      <alignment horizontal="right"/>
    </xf>
    <xf numFmtId="164" fontId="0" fillId="0" borderId="3" xfId="0" applyNumberFormat="1" applyFont="1" applyBorder="1" applyAlignment="1">
      <alignment horizontal="right"/>
    </xf>
    <xf numFmtId="2" fontId="9" fillId="6" borderId="0" xfId="0" applyNumberFormat="1" applyFont="1" applyFill="1" applyBorder="1" applyAlignment="1">
      <alignment horizontal="center" wrapText="1"/>
    </xf>
    <xf numFmtId="164" fontId="0" fillId="6" borderId="0" xfId="0" applyNumberFormat="1" applyFont="1" applyFill="1" applyBorder="1" applyAlignment="1">
      <alignment horizontal="center" wrapText="1"/>
    </xf>
    <xf numFmtId="164" fontId="0" fillId="6" borderId="3" xfId="0" applyNumberFormat="1" applyFont="1" applyFill="1" applyBorder="1" applyAlignment="1">
      <alignment horizontal="center" wrapText="1"/>
    </xf>
    <xf numFmtId="0" fontId="0" fillId="6" borderId="0" xfId="0" applyFont="1" applyFill="1" applyBorder="1" applyAlignment="1">
      <alignment horizontal="center" wrapText="1"/>
    </xf>
    <xf numFmtId="0" fontId="0" fillId="6" borderId="3" xfId="0" applyFont="1" applyFill="1" applyBorder="1" applyAlignment="1">
      <alignment horizontal="center" wrapText="1"/>
    </xf>
    <xf numFmtId="164" fontId="0" fillId="6" borderId="0" xfId="0" applyNumberFormat="1" applyFont="1" applyFill="1" applyBorder="1" applyAlignment="1">
      <alignment horizontal="center"/>
    </xf>
    <xf numFmtId="3" fontId="0" fillId="6" borderId="0" xfId="0" applyNumberFormat="1" applyFont="1" applyFill="1" applyBorder="1" applyAlignment="1">
      <alignment horizontal="center"/>
    </xf>
    <xf numFmtId="3" fontId="0" fillId="0" borderId="2" xfId="0" applyNumberFormat="1" applyFont="1" applyFill="1" applyBorder="1" applyAlignment="1">
      <alignment horizontal="right"/>
    </xf>
    <xf numFmtId="3" fontId="0" fillId="0" borderId="3" xfId="0" applyNumberFormat="1" applyFont="1" applyFill="1" applyBorder="1" applyAlignment="1">
      <alignment horizontal="right"/>
    </xf>
    <xf numFmtId="0" fontId="0" fillId="0" borderId="2" xfId="0" applyFont="1" applyBorder="1" applyAlignment="1">
      <alignment horizontal="center"/>
    </xf>
    <xf numFmtId="0" fontId="0" fillId="0" borderId="3" xfId="0" applyFont="1" applyBorder="1" applyAlignment="1">
      <alignment horizontal="center"/>
    </xf>
    <xf numFmtId="0" fontId="0" fillId="0" borderId="0"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9" fillId="0" borderId="0" xfId="0" applyFont="1" applyBorder="1" applyAlignment="1">
      <alignment horizontal="center"/>
    </xf>
    <xf numFmtId="0" fontId="9" fillId="0" borderId="4" xfId="0" applyFont="1" applyBorder="1" applyAlignment="1">
      <alignment horizontal="left" wrapText="1"/>
    </xf>
    <xf numFmtId="0" fontId="9" fillId="0" borderId="2" xfId="0" applyFont="1" applyBorder="1" applyAlignment="1">
      <alignment horizontal="left" wrapText="1"/>
    </xf>
    <xf numFmtId="0" fontId="9" fillId="0" borderId="5" xfId="0" applyFont="1" applyBorder="1" applyAlignment="1">
      <alignment horizontal="left" wrapText="1"/>
    </xf>
    <xf numFmtId="0" fontId="9" fillId="0" borderId="6" xfId="0" applyFont="1" applyBorder="1" applyAlignment="1">
      <alignment horizontal="left" wrapText="1"/>
    </xf>
    <xf numFmtId="0" fontId="9" fillId="0" borderId="0" xfId="0" applyFont="1" applyBorder="1" applyAlignment="1">
      <alignment horizontal="left" wrapText="1"/>
    </xf>
    <xf numFmtId="0" fontId="9" fillId="0" borderId="7" xfId="0" applyFont="1" applyBorder="1" applyAlignment="1">
      <alignment horizontal="left" wrapText="1"/>
    </xf>
    <xf numFmtId="0" fontId="9" fillId="0" borderId="8" xfId="0" applyFont="1" applyBorder="1" applyAlignment="1">
      <alignment horizontal="left" wrapText="1"/>
    </xf>
    <xf numFmtId="0" fontId="9" fillId="0" borderId="3" xfId="0" applyFont="1" applyBorder="1" applyAlignment="1">
      <alignment horizontal="left" wrapText="1"/>
    </xf>
    <xf numFmtId="0" fontId="9" fillId="0" borderId="9" xfId="0" applyFont="1" applyBorder="1" applyAlignment="1">
      <alignment horizontal="left" wrapText="1"/>
    </xf>
    <xf numFmtId="164" fontId="0" fillId="6" borderId="0" xfId="0" applyNumberFormat="1" applyFont="1" applyFill="1" applyAlignment="1">
      <alignment horizontal="center"/>
    </xf>
    <xf numFmtId="164" fontId="0" fillId="0" borderId="0" xfId="0" applyNumberFormat="1" applyFont="1" applyAlignment="1">
      <alignment horizontal="center"/>
    </xf>
    <xf numFmtId="0" fontId="0" fillId="0" borderId="2" xfId="0" applyFont="1" applyFill="1" applyBorder="1" applyAlignment="1">
      <alignment horizontal="center"/>
    </xf>
    <xf numFmtId="0" fontId="0" fillId="0" borderId="0" xfId="0" applyFont="1" applyFill="1" applyAlignment="1">
      <alignment horizontal="center"/>
    </xf>
    <xf numFmtId="0" fontId="0" fillId="0" borderId="3" xfId="0" applyFont="1" applyFill="1" applyBorder="1" applyAlignment="1">
      <alignment horizontal="center"/>
    </xf>
    <xf numFmtId="3" fontId="0" fillId="0" borderId="2" xfId="0" applyNumberFormat="1" applyFont="1" applyBorder="1" applyAlignment="1">
      <alignment horizontal="center"/>
    </xf>
    <xf numFmtId="3" fontId="0" fillId="0" borderId="0" xfId="0" applyNumberFormat="1" applyFont="1" applyBorder="1" applyAlignment="1">
      <alignment horizontal="center"/>
    </xf>
    <xf numFmtId="3" fontId="0" fillId="0" borderId="3" xfId="0" applyNumberFormat="1" applyFont="1" applyBorder="1" applyAlignment="1">
      <alignment horizontal="center"/>
    </xf>
    <xf numFmtId="0" fontId="0" fillId="0" borderId="4" xfId="0" applyFont="1" applyBorder="1" applyAlignment="1">
      <alignment horizontal="left" wrapText="1"/>
    </xf>
    <xf numFmtId="0" fontId="0" fillId="0" borderId="2" xfId="0" applyFont="1" applyBorder="1" applyAlignment="1">
      <alignment horizontal="left" wrapText="1"/>
    </xf>
    <xf numFmtId="0" fontId="0" fillId="0" borderId="5" xfId="0" applyFont="1" applyBorder="1" applyAlignment="1">
      <alignment horizontal="left" wrapText="1"/>
    </xf>
    <xf numFmtId="0" fontId="0" fillId="0" borderId="6" xfId="0" applyFont="1" applyBorder="1" applyAlignment="1">
      <alignment horizontal="left" wrapText="1"/>
    </xf>
    <xf numFmtId="0" fontId="0" fillId="0" borderId="0" xfId="0" applyFont="1" applyBorder="1" applyAlignment="1">
      <alignment horizontal="left" wrapText="1"/>
    </xf>
    <xf numFmtId="0" fontId="0" fillId="0" borderId="7" xfId="0" applyFont="1" applyBorder="1" applyAlignment="1">
      <alignment horizontal="left" wrapText="1"/>
    </xf>
    <xf numFmtId="0" fontId="0" fillId="0" borderId="8" xfId="0" applyFont="1" applyBorder="1" applyAlignment="1">
      <alignment horizontal="left" wrapText="1"/>
    </xf>
    <xf numFmtId="0" fontId="0" fillId="0" borderId="3" xfId="0" applyFont="1" applyBorder="1" applyAlignment="1">
      <alignment horizontal="left" wrapText="1"/>
    </xf>
    <xf numFmtId="0" fontId="0" fillId="0" borderId="9" xfId="0" applyFont="1" applyBorder="1" applyAlignment="1">
      <alignment horizontal="left" wrapText="1"/>
    </xf>
    <xf numFmtId="164" fontId="0" fillId="0" borderId="0" xfId="0" applyNumberFormat="1" applyFont="1" applyFill="1" applyAlignment="1">
      <alignment horizontal="center"/>
    </xf>
    <xf numFmtId="0" fontId="0" fillId="0" borderId="2" xfId="0" applyFont="1" applyBorder="1" applyAlignment="1">
      <alignment horizontal="right"/>
    </xf>
    <xf numFmtId="0" fontId="0" fillId="0" borderId="3" xfId="0" applyFont="1" applyBorder="1" applyAlignment="1">
      <alignment horizontal="right"/>
    </xf>
    <xf numFmtId="0" fontId="0" fillId="0" borderId="0" xfId="0" applyFont="1" applyBorder="1" applyAlignment="1">
      <alignment horizontal="right"/>
    </xf>
    <xf numFmtId="164" fontId="0" fillId="0" borderId="2" xfId="0" applyNumberFormat="1" applyFont="1" applyBorder="1" applyAlignment="1"/>
    <xf numFmtId="164" fontId="0" fillId="0" borderId="3" xfId="0" applyNumberFormat="1" applyFont="1" applyBorder="1" applyAlignment="1"/>
    <xf numFmtId="0" fontId="0" fillId="0" borderId="2" xfId="0" applyFont="1" applyFill="1" applyBorder="1" applyAlignment="1">
      <alignment horizontal="right"/>
    </xf>
    <xf numFmtId="0" fontId="0" fillId="0" borderId="0" xfId="0" applyFont="1" applyFill="1" applyAlignment="1">
      <alignment horizontal="right"/>
    </xf>
    <xf numFmtId="0" fontId="0" fillId="0" borderId="3" xfId="0" applyFont="1" applyFill="1" applyBorder="1" applyAlignment="1">
      <alignment horizontal="right"/>
    </xf>
    <xf numFmtId="3" fontId="0" fillId="0" borderId="0" xfId="0" applyNumberFormat="1" applyFont="1" applyFill="1" applyAlignment="1">
      <alignment horizontal="right"/>
    </xf>
    <xf numFmtId="164" fontId="0" fillId="0" borderId="2" xfId="0" applyNumberFormat="1" applyFont="1" applyFill="1" applyBorder="1" applyAlignment="1">
      <alignment horizontal="right"/>
    </xf>
    <xf numFmtId="164" fontId="0" fillId="0" borderId="0" xfId="0" applyNumberFormat="1" applyFont="1" applyFill="1" applyAlignment="1">
      <alignment horizontal="right"/>
    </xf>
    <xf numFmtId="164" fontId="0" fillId="0" borderId="3" xfId="0" applyNumberFormat="1" applyFont="1" applyFill="1" applyBorder="1" applyAlignment="1">
      <alignment horizontal="right"/>
    </xf>
    <xf numFmtId="164" fontId="0" fillId="0" borderId="0" xfId="0" applyNumberFormat="1" applyFont="1" applyBorder="1" applyAlignment="1"/>
    <xf numFmtId="164" fontId="0" fillId="0" borderId="2" xfId="0" applyNumberFormat="1" applyFont="1" applyBorder="1" applyAlignment="1">
      <alignment horizontal="center"/>
    </xf>
    <xf numFmtId="164" fontId="0" fillId="0" borderId="0" xfId="0" applyNumberFormat="1" applyFont="1" applyBorder="1" applyAlignment="1">
      <alignment horizontal="center"/>
    </xf>
    <xf numFmtId="164" fontId="0" fillId="0" borderId="3" xfId="0" applyNumberFormat="1" applyFont="1" applyBorder="1" applyAlignment="1">
      <alignment horizontal="center"/>
    </xf>
  </cellXfs>
  <cellStyles count="4">
    <cellStyle name="Accent5" xfId="3" builtinId="45"/>
    <cellStyle name="Good" xfId="1" builtinId="26"/>
    <cellStyle name="Neutral" xfId="2" builtinId="2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38100</xdr:colOff>
      <xdr:row>0</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4" name="Picture 23"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oneCellAnchor>
    <xdr:from>
      <xdr:col>4</xdr:col>
      <xdr:colOff>0</xdr:colOff>
      <xdr:row>9</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6" name="Picture 4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4" name="Picture 53"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6" name="Picture 7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4" name="Picture 83"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9</xdr:row>
      <xdr:rowOff>0</xdr:rowOff>
    </xdr:from>
    <xdr:to>
      <xdr:col>6</xdr:col>
      <xdr:colOff>38100</xdr:colOff>
      <xdr:row>9</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9</xdr:row>
      <xdr:rowOff>0</xdr:rowOff>
    </xdr:from>
    <xdr:to>
      <xdr:col>6</xdr:col>
      <xdr:colOff>38100</xdr:colOff>
      <xdr:row>9</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13</xdr:row>
      <xdr:rowOff>0</xdr:rowOff>
    </xdr:from>
    <xdr:to>
      <xdr:col>6</xdr:col>
      <xdr:colOff>38100</xdr:colOff>
      <xdr:row>13</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13</xdr:row>
      <xdr:rowOff>0</xdr:rowOff>
    </xdr:from>
    <xdr:to>
      <xdr:col>6</xdr:col>
      <xdr:colOff>38100</xdr:colOff>
      <xdr:row>13</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8</xdr:row>
      <xdr:rowOff>0</xdr:rowOff>
    </xdr:from>
    <xdr:to>
      <xdr:col>6</xdr:col>
      <xdr:colOff>38100</xdr:colOff>
      <xdr:row>8</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20</xdr:row>
      <xdr:rowOff>0</xdr:rowOff>
    </xdr:from>
    <xdr:to>
      <xdr:col>6</xdr:col>
      <xdr:colOff>38100</xdr:colOff>
      <xdr:row>20</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8</xdr:row>
      <xdr:rowOff>0</xdr:rowOff>
    </xdr:from>
    <xdr:to>
      <xdr:col>6</xdr:col>
      <xdr:colOff>38100</xdr:colOff>
      <xdr:row>8</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10</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10</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3</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13</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13</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11" name="Picture 11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5" name="Picture 11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19" name="Picture 11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23" name="Picture 12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27" name="Picture 12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31" name="Picture 13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35" name="Picture 13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39" name="Picture 13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43" name="Picture 14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47" name="Picture 14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51" name="Picture 15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5" name="Picture 15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9" name="Picture 15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3" name="Picture 16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7" name="Picture 16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1" name="Picture 17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75" name="Picture 17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79" name="Picture 17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83" name="Picture 18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87" name="Picture 18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91" name="Picture 19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95" name="Picture 19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99" name="Picture 19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03" name="Picture 20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07" name="Picture 20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11" name="Picture 21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15" name="Picture 21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19" name="Picture 21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23" name="Picture 22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27" name="Picture 22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31" name="Picture 23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35" name="Picture 23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39" name="Picture 23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43" name="Picture 24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47" name="Picture 24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51" name="Picture 25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55" name="Picture 25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17</xdr:row>
      <xdr:rowOff>0</xdr:rowOff>
    </xdr:from>
    <xdr:to>
      <xdr:col>6</xdr:col>
      <xdr:colOff>38100</xdr:colOff>
      <xdr:row>17</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17</xdr:row>
      <xdr:rowOff>0</xdr:rowOff>
    </xdr:from>
    <xdr:to>
      <xdr:col>6</xdr:col>
      <xdr:colOff>38100</xdr:colOff>
      <xdr:row>17</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25</xdr:row>
      <xdr:rowOff>0</xdr:rowOff>
    </xdr:from>
    <xdr:to>
      <xdr:col>6</xdr:col>
      <xdr:colOff>38100</xdr:colOff>
      <xdr:row>25</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10</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10</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17</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17</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twoCellAnchor editAs="oneCell">
    <xdr:from>
      <xdr:col>6</xdr:col>
      <xdr:colOff>0</xdr:colOff>
      <xdr:row>6</xdr:row>
      <xdr:rowOff>0</xdr:rowOff>
    </xdr:from>
    <xdr:to>
      <xdr:col>6</xdr:col>
      <xdr:colOff>38100</xdr:colOff>
      <xdr:row>6</xdr:row>
      <xdr:rowOff>28575</xdr:rowOff>
    </xdr:to>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oneCellAnchor>
    <xdr:from>
      <xdr:col>6</xdr:col>
      <xdr:colOff>0</xdr:colOff>
      <xdr:row>8</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1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1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1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1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2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2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2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2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2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2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2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2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2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2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2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2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2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2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2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2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2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2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2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2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2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2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2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2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2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3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3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3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3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3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3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3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3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3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3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3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3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3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3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3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3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3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3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3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3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3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3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3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3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1049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6</xdr:col>
      <xdr:colOff>38100</xdr:colOff>
      <xdr:row>11</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4762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7145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4457700"/>
          <a:ext cx="38100" cy="28575"/>
        </a:xfrm>
        <a:prstGeom prst="rect">
          <a:avLst/>
        </a:prstGeom>
        <a:noFill/>
        <a:ln w="9525">
          <a:noFill/>
          <a:miter lim="800000"/>
          <a:headEnd/>
          <a:tailEnd/>
        </a:ln>
      </xdr:spPr>
    </xdr:pic>
    <xdr:clientData/>
  </xdr:twoCellAnchor>
  <xdr:twoCellAnchor editAs="oneCell">
    <xdr:from>
      <xdr:col>6</xdr:col>
      <xdr:colOff>0</xdr:colOff>
      <xdr:row>17</xdr:row>
      <xdr:rowOff>0</xdr:rowOff>
    </xdr:from>
    <xdr:to>
      <xdr:col>6</xdr:col>
      <xdr:colOff>38100</xdr:colOff>
      <xdr:row>17</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8877300"/>
          <a:ext cx="38100" cy="28575"/>
        </a:xfrm>
        <a:prstGeom prst="rect">
          <a:avLst/>
        </a:prstGeom>
        <a:noFill/>
        <a:ln w="9525">
          <a:noFill/>
          <a:miter lim="800000"/>
          <a:headEnd/>
          <a:tailEnd/>
        </a:ln>
      </xdr:spPr>
    </xdr:pic>
    <xdr:clientData/>
  </xdr:twoCellAnchor>
  <xdr:twoCellAnchor editAs="oneCell">
    <xdr:from>
      <xdr:col>6</xdr:col>
      <xdr:colOff>0</xdr:colOff>
      <xdr:row>17</xdr:row>
      <xdr:rowOff>0</xdr:rowOff>
    </xdr:from>
    <xdr:to>
      <xdr:col>6</xdr:col>
      <xdr:colOff>38100</xdr:colOff>
      <xdr:row>17</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952500"/>
          <a:ext cx="38100" cy="28575"/>
        </a:xfrm>
        <a:prstGeom prst="rect">
          <a:avLst/>
        </a:prstGeom>
        <a:noFill/>
        <a:ln w="9525">
          <a:noFill/>
          <a:miter lim="800000"/>
          <a:headEnd/>
          <a:tailEnd/>
        </a:ln>
      </xdr:spPr>
    </xdr:pic>
    <xdr:clientData/>
  </xdr:twoCellAnchor>
  <xdr:twoCellAnchor editAs="oneCell">
    <xdr:from>
      <xdr:col>6</xdr:col>
      <xdr:colOff>0</xdr:colOff>
      <xdr:row>8</xdr:row>
      <xdr:rowOff>0</xdr:rowOff>
    </xdr:from>
    <xdr:to>
      <xdr:col>6</xdr:col>
      <xdr:colOff>38100</xdr:colOff>
      <xdr:row>8</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543300"/>
          <a:ext cx="38100" cy="28575"/>
        </a:xfrm>
        <a:prstGeom prst="rect">
          <a:avLst/>
        </a:prstGeom>
        <a:noFill/>
        <a:ln w="9525">
          <a:noFill/>
          <a:miter lim="800000"/>
          <a:headEnd/>
          <a:tailEnd/>
        </a:ln>
      </xdr:spPr>
    </xdr:pic>
    <xdr:clientData/>
  </xdr:twoCellAnchor>
  <xdr:twoCellAnchor editAs="oneCell">
    <xdr:from>
      <xdr:col>6</xdr:col>
      <xdr:colOff>0</xdr:colOff>
      <xdr:row>30</xdr:row>
      <xdr:rowOff>0</xdr:rowOff>
    </xdr:from>
    <xdr:to>
      <xdr:col>6</xdr:col>
      <xdr:colOff>38100</xdr:colOff>
      <xdr:row>30</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48209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238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257300"/>
          <a:ext cx="38100" cy="28575"/>
        </a:xfrm>
        <a:prstGeom prst="rect">
          <a:avLst/>
        </a:prstGeom>
        <a:noFill/>
        <a:ln w="9525">
          <a:noFill/>
          <a:miter lim="800000"/>
          <a:headEnd/>
          <a:tailEnd/>
        </a:ln>
      </xdr:spPr>
    </xdr:pic>
    <xdr:clientData/>
  </xdr:twoCellAnchor>
  <xdr:twoCellAnchor editAs="oneCell">
    <xdr:from>
      <xdr:col>6</xdr:col>
      <xdr:colOff>0</xdr:colOff>
      <xdr:row>12</xdr:row>
      <xdr:rowOff>0</xdr:rowOff>
    </xdr:from>
    <xdr:to>
      <xdr:col>6</xdr:col>
      <xdr:colOff>38100</xdr:colOff>
      <xdr:row>12</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5981700"/>
          <a:ext cx="38100" cy="28575"/>
        </a:xfrm>
        <a:prstGeom prst="rect">
          <a:avLst/>
        </a:prstGeom>
        <a:noFill/>
        <a:ln w="9525">
          <a:noFill/>
          <a:miter lim="800000"/>
          <a:headEnd/>
          <a:tailEnd/>
        </a:ln>
      </xdr:spPr>
    </xdr:pic>
    <xdr:clientData/>
  </xdr:twoCellAnchor>
  <xdr:twoCellAnchor editAs="oneCell">
    <xdr:from>
      <xdr:col>6</xdr:col>
      <xdr:colOff>0</xdr:colOff>
      <xdr:row>12</xdr:row>
      <xdr:rowOff>0</xdr:rowOff>
    </xdr:from>
    <xdr:to>
      <xdr:col>6</xdr:col>
      <xdr:colOff>38100</xdr:colOff>
      <xdr:row>12</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8039100" y="59817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4765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8039100" y="2476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4097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086100"/>
          <a:ext cx="38100" cy="28575"/>
        </a:xfrm>
        <a:prstGeom prst="rect">
          <a:avLst/>
        </a:prstGeom>
        <a:noFill/>
        <a:ln w="9525">
          <a:noFill/>
          <a:miter lim="800000"/>
          <a:headEnd/>
          <a:tailEnd/>
        </a:ln>
      </xdr:spPr>
    </xdr:pic>
    <xdr:clientData/>
  </xdr:twoCellAnchor>
  <xdr:oneCellAnchor>
    <xdr:from>
      <xdr:col>4</xdr:col>
      <xdr:colOff>0</xdr:colOff>
      <xdr:row>12</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600700" y="5981700"/>
          <a:ext cx="38100" cy="28575"/>
        </a:xfrm>
        <a:prstGeom prst="rect">
          <a:avLst/>
        </a:prstGeom>
        <a:noFill/>
        <a:ln w="9525">
          <a:noFill/>
          <a:miter lim="800000"/>
          <a:headEnd/>
          <a:tailEnd/>
        </a:ln>
      </xdr:spPr>
    </xdr:pic>
    <xdr:clientData/>
  </xdr:oneCellAnchor>
  <xdr:oneCellAnchor>
    <xdr:from>
      <xdr:col>4</xdr:col>
      <xdr:colOff>0</xdr:colOff>
      <xdr:row>12</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600700" y="5981700"/>
          <a:ext cx="38100" cy="28575"/>
        </a:xfrm>
        <a:prstGeom prst="rect">
          <a:avLst/>
        </a:prstGeom>
        <a:noFill/>
        <a:ln w="9525">
          <a:noFill/>
          <a:miter lim="800000"/>
          <a:headEnd/>
          <a:tailEnd/>
        </a:ln>
      </xdr:spPr>
    </xdr:pic>
    <xdr:clientData/>
  </xdr:oneCellAnchor>
  <xdr:oneCellAnchor>
    <xdr:from>
      <xdr:col>4</xdr:col>
      <xdr:colOff>0</xdr:colOff>
      <xdr:row>3</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600700" y="1257300"/>
          <a:ext cx="38100" cy="28575"/>
        </a:xfrm>
        <a:prstGeom prst="rect">
          <a:avLst/>
        </a:prstGeom>
        <a:noFill/>
        <a:ln w="9525">
          <a:noFill/>
          <a:miter lim="800000"/>
          <a:headEnd/>
          <a:tailEnd/>
        </a:ln>
      </xdr:spPr>
    </xdr:pic>
    <xdr:clientData/>
  </xdr:oneCellAnchor>
  <xdr:oneCellAnchor>
    <xdr:from>
      <xdr:col>4</xdr:col>
      <xdr:colOff>0</xdr:colOff>
      <xdr:row>17</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600700" y="8877300"/>
          <a:ext cx="38100" cy="28575"/>
        </a:xfrm>
        <a:prstGeom prst="rect">
          <a:avLst/>
        </a:prstGeom>
        <a:noFill/>
        <a:ln w="9525">
          <a:noFill/>
          <a:miter lim="800000"/>
          <a:headEnd/>
          <a:tailEnd/>
        </a:ln>
      </xdr:spPr>
    </xdr:pic>
    <xdr:clientData/>
  </xdr:oneCellAnchor>
  <xdr:oneCellAnchor>
    <xdr:from>
      <xdr:col>4</xdr:col>
      <xdr:colOff>0</xdr:colOff>
      <xdr:row>17</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600700" y="8877300"/>
          <a:ext cx="38100" cy="28575"/>
        </a:xfrm>
        <a:prstGeom prst="rect">
          <a:avLst/>
        </a:prstGeom>
        <a:noFill/>
        <a:ln w="9525">
          <a:noFill/>
          <a:miter lim="800000"/>
          <a:headEnd/>
          <a:tailEnd/>
        </a:ln>
      </xdr:spPr>
    </xdr:pic>
    <xdr:clientData/>
  </xdr:oneCellAnchor>
  <xdr:oneCellAnchor>
    <xdr:from>
      <xdr:col>6</xdr:col>
      <xdr:colOff>0</xdr:colOff>
      <xdr:row>3</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562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5372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55245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134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5913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200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3533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505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9629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88773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9791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9944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88773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134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16205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20777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223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26873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329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3601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39065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46685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63449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6649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6802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69545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80213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93929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0459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07645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10693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13741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18313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22885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2745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38125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41173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51841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68605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71653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74701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76225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94513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9603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17373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1889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20421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28041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47853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493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134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5913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9629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3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3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3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3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3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4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4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4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4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5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5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5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5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5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5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5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5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5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4</xdr:row>
      <xdr:rowOff>0</xdr:rowOff>
    </xdr:from>
    <xdr:to>
      <xdr:col>6</xdr:col>
      <xdr:colOff>38100</xdr:colOff>
      <xdr:row>4</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6</xdr:row>
      <xdr:rowOff>0</xdr:rowOff>
    </xdr:from>
    <xdr:to>
      <xdr:col>6</xdr:col>
      <xdr:colOff>38100</xdr:colOff>
      <xdr:row>6</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oneCellAnchor>
    <xdr:from>
      <xdr:col>4</xdr:col>
      <xdr:colOff>0</xdr:colOff>
      <xdr:row>4</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524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6764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6764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6764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8288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1336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1336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1336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1336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8956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8956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8956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30480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30480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30480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0" name="Picture 89"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1" name="Picture 12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6</xdr:col>
      <xdr:colOff>0</xdr:colOff>
      <xdr:row>4</xdr:row>
      <xdr:rowOff>0</xdr:rowOff>
    </xdr:from>
    <xdr:to>
      <xdr:col>6</xdr:col>
      <xdr:colOff>38100</xdr:colOff>
      <xdr:row>4</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8</xdr:row>
      <xdr:rowOff>0</xdr:rowOff>
    </xdr:from>
    <xdr:to>
      <xdr:col>6</xdr:col>
      <xdr:colOff>38100</xdr:colOff>
      <xdr:row>8</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6</xdr:col>
      <xdr:colOff>38100</xdr:colOff>
      <xdr:row>11</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6</xdr:col>
      <xdr:colOff>38100</xdr:colOff>
      <xdr:row>11</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6</xdr:row>
      <xdr:rowOff>0</xdr:rowOff>
    </xdr:from>
    <xdr:to>
      <xdr:col>6</xdr:col>
      <xdr:colOff>38100</xdr:colOff>
      <xdr:row>6</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15</xdr:row>
      <xdr:rowOff>0</xdr:rowOff>
    </xdr:from>
    <xdr:to>
      <xdr:col>6</xdr:col>
      <xdr:colOff>38100</xdr:colOff>
      <xdr:row>15</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6</xdr:row>
      <xdr:rowOff>0</xdr:rowOff>
    </xdr:from>
    <xdr:to>
      <xdr:col>6</xdr:col>
      <xdr:colOff>38100</xdr:colOff>
      <xdr:row>6</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9</xdr:row>
      <xdr:rowOff>0</xdr:rowOff>
    </xdr:from>
    <xdr:to>
      <xdr:col>6</xdr:col>
      <xdr:colOff>38100</xdr:colOff>
      <xdr:row>9</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9</xdr:row>
      <xdr:rowOff>0</xdr:rowOff>
    </xdr:from>
    <xdr:to>
      <xdr:col>6</xdr:col>
      <xdr:colOff>38100</xdr:colOff>
      <xdr:row>9</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6</xdr:row>
      <xdr:rowOff>0</xdr:rowOff>
    </xdr:from>
    <xdr:to>
      <xdr:col>6</xdr:col>
      <xdr:colOff>38100</xdr:colOff>
      <xdr:row>6</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9</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11</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11</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1336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133600"/>
          <a:ext cx="38100" cy="28575"/>
        </a:xfrm>
        <a:prstGeom prst="rect">
          <a:avLst/>
        </a:prstGeom>
        <a:noFill/>
        <a:ln w="9525">
          <a:noFill/>
          <a:miter lim="800000"/>
          <a:headEnd/>
          <a:tailEnd/>
        </a:ln>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5</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5</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3</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5</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5</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3</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twoCellAnchor editAs="oneCell">
    <xdr:from>
      <xdr:col>6</xdr:col>
      <xdr:colOff>0</xdr:colOff>
      <xdr:row>6</xdr:row>
      <xdr:rowOff>0</xdr:rowOff>
    </xdr:from>
    <xdr:to>
      <xdr:col>6</xdr:col>
      <xdr:colOff>38100</xdr:colOff>
      <xdr:row>6</xdr:row>
      <xdr:rowOff>28575</xdr:rowOff>
    </xdr:to>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oneCellAnchor>
    <xdr:from>
      <xdr:col>6</xdr:col>
      <xdr:colOff>0</xdr:colOff>
      <xdr:row>4</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4" name="Picture 8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4" name="Picture 9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4" name="Picture 10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4" name="Picture 11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4" name="Picture 12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3"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3"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3"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6</xdr:col>
      <xdr:colOff>38100</xdr:colOff>
      <xdr:row>11</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5</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5</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3</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7</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7</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workbookViewId="0">
      <selection activeCell="K14" sqref="K14"/>
    </sheetView>
  </sheetViews>
  <sheetFormatPr defaultRowHeight="15" x14ac:dyDescent="0.25"/>
  <cols>
    <col min="2" max="3" width="10.85546875" bestFit="1" customWidth="1"/>
    <col min="6" max="9" width="9.5703125" bestFit="1" customWidth="1"/>
    <col min="10" max="10" width="12.7109375" customWidth="1"/>
    <col min="11" max="11" width="9.5703125" bestFit="1" customWidth="1"/>
  </cols>
  <sheetData>
    <row r="1" spans="1:20" x14ac:dyDescent="0.25">
      <c r="F1" s="152"/>
      <c r="I1" s="157"/>
    </row>
    <row r="2" spans="1:20" x14ac:dyDescent="0.25">
      <c r="A2" t="s">
        <v>399</v>
      </c>
    </row>
    <row r="3" spans="1:20" x14ac:dyDescent="0.25">
      <c r="A3" s="153"/>
      <c r="B3" s="153"/>
      <c r="C3" s="153"/>
      <c r="D3" s="175" t="s">
        <v>283</v>
      </c>
      <c r="E3" s="175"/>
      <c r="F3" s="177" t="s">
        <v>388</v>
      </c>
      <c r="G3" s="177"/>
      <c r="H3" s="177"/>
      <c r="I3" s="177"/>
    </row>
    <row r="4" spans="1:20" x14ac:dyDescent="0.25">
      <c r="A4" s="154"/>
      <c r="B4" s="155"/>
      <c r="C4" s="156"/>
      <c r="D4" s="176"/>
      <c r="E4" s="176"/>
      <c r="F4" s="178" t="s">
        <v>237</v>
      </c>
      <c r="G4" s="180" t="s">
        <v>396</v>
      </c>
      <c r="H4" s="180"/>
      <c r="I4" s="180"/>
    </row>
    <row r="5" spans="1:20" ht="36.75" x14ac:dyDescent="0.25">
      <c r="A5" s="40" t="s">
        <v>284</v>
      </c>
      <c r="B5" s="40" t="s">
        <v>1</v>
      </c>
      <c r="C5" s="40" t="s">
        <v>285</v>
      </c>
      <c r="D5" s="40" t="s">
        <v>237</v>
      </c>
      <c r="E5" s="40" t="s">
        <v>240</v>
      </c>
      <c r="F5" s="179"/>
      <c r="G5" s="151" t="s">
        <v>383</v>
      </c>
      <c r="H5" s="151" t="s">
        <v>384</v>
      </c>
      <c r="I5" s="151" t="s">
        <v>239</v>
      </c>
      <c r="J5" s="169" t="s">
        <v>398</v>
      </c>
      <c r="K5" s="40" t="s">
        <v>400</v>
      </c>
    </row>
    <row r="6" spans="1:20" x14ac:dyDescent="0.25">
      <c r="A6" s="37" t="s">
        <v>385</v>
      </c>
      <c r="B6" s="38">
        <f>High!B49</f>
        <v>498833289</v>
      </c>
      <c r="C6" s="38">
        <f>High!C49</f>
        <v>446194700</v>
      </c>
      <c r="D6" s="38">
        <f>High!J49</f>
        <v>4092</v>
      </c>
      <c r="E6" s="38">
        <f>High!K49</f>
        <v>4120618.4</v>
      </c>
      <c r="F6" s="38">
        <f>High!Q49</f>
        <v>11396.1609377</v>
      </c>
      <c r="G6" s="38">
        <f>High!R49</f>
        <v>8766277.6443847008</v>
      </c>
      <c r="H6" s="38">
        <f>High!S49</f>
        <v>11396160.9377</v>
      </c>
      <c r="I6" s="38">
        <f>High!U49</f>
        <v>11222580.598735699</v>
      </c>
      <c r="J6" s="16">
        <v>387482</v>
      </c>
      <c r="K6" s="16">
        <f>SUM(F6+J6)</f>
        <v>398878.16093770001</v>
      </c>
      <c r="M6" s="171"/>
      <c r="N6" s="171"/>
      <c r="O6" s="171"/>
      <c r="P6" s="171"/>
      <c r="Q6" s="171"/>
      <c r="R6" s="171"/>
      <c r="S6" s="171"/>
      <c r="T6" s="171"/>
    </row>
    <row r="7" spans="1:20" x14ac:dyDescent="0.25">
      <c r="A7" s="37" t="s">
        <v>254</v>
      </c>
      <c r="B7" s="38">
        <f>Afro!B53</f>
        <v>341142486</v>
      </c>
      <c r="C7" s="38">
        <f>Afro!C53</f>
        <v>106677471</v>
      </c>
      <c r="D7" s="38">
        <f>Afro!J53</f>
        <v>263</v>
      </c>
      <c r="E7" s="38">
        <f>Afro!K53</f>
        <v>24024</v>
      </c>
      <c r="F7" s="38">
        <f>Afro!O53</f>
        <v>59301.197401799996</v>
      </c>
      <c r="G7" s="38">
        <f>Afro!P53</f>
        <v>45616305.693692498</v>
      </c>
      <c r="H7" s="38">
        <f>Afro!Q53</f>
        <v>59301197.401799999</v>
      </c>
      <c r="I7" s="38">
        <f>Afro!R53</f>
        <v>52458751.547747403</v>
      </c>
      <c r="J7" s="16">
        <v>186549</v>
      </c>
      <c r="K7" s="16">
        <f t="shared" ref="K7:K12" si="0">SUM(F7+J7)</f>
        <v>245850.19740179999</v>
      </c>
      <c r="M7" s="172"/>
      <c r="N7" s="172"/>
      <c r="O7" s="173"/>
      <c r="P7" s="172"/>
      <c r="Q7" s="172"/>
      <c r="R7" s="172"/>
      <c r="S7" s="172"/>
      <c r="T7" s="172"/>
    </row>
    <row r="8" spans="1:20" x14ac:dyDescent="0.25">
      <c r="A8" s="37" t="s">
        <v>242</v>
      </c>
      <c r="B8" s="38">
        <f>Amro!B50</f>
        <v>279490780</v>
      </c>
      <c r="C8" s="38">
        <f>Amro!C50</f>
        <v>248755700</v>
      </c>
      <c r="D8" s="38">
        <f>Amro!J50</f>
        <v>3096</v>
      </c>
      <c r="E8" s="38">
        <f>Amro!K50</f>
        <v>1184336</v>
      </c>
      <c r="F8" s="38">
        <f>Amro!O50</f>
        <v>18432.914374600001</v>
      </c>
      <c r="G8" s="38">
        <f>Amro!P50</f>
        <v>14179164.903538501</v>
      </c>
      <c r="H8" s="38">
        <f>Amro!Q50</f>
        <v>18432914.374600001</v>
      </c>
      <c r="I8" s="38">
        <f>Amro!R50</f>
        <v>16306039.6390702</v>
      </c>
      <c r="J8" s="16">
        <v>111749</v>
      </c>
      <c r="K8" s="16">
        <f t="shared" si="0"/>
        <v>130181.9143746</v>
      </c>
      <c r="M8" s="172"/>
      <c r="N8" s="172"/>
      <c r="O8" s="173"/>
      <c r="P8" s="172"/>
      <c r="Q8" s="172"/>
      <c r="R8" s="172"/>
      <c r="S8" s="172"/>
      <c r="T8" s="172"/>
    </row>
    <row r="9" spans="1:20" x14ac:dyDescent="0.25">
      <c r="A9" s="37" t="s">
        <v>252</v>
      </c>
      <c r="B9" s="38">
        <f>Emro!B21</f>
        <v>173814953</v>
      </c>
      <c r="C9" s="38">
        <f>Emro!C21</f>
        <v>141569900</v>
      </c>
      <c r="D9" s="16">
        <f>Emro!J21</f>
        <v>0</v>
      </c>
      <c r="E9" s="16">
        <f>Emro!K21</f>
        <v>0</v>
      </c>
      <c r="F9" s="38">
        <f>Emro!O21</f>
        <v>19228.672270399999</v>
      </c>
      <c r="G9" s="38">
        <f>Emro!P21</f>
        <v>14791286.361846101</v>
      </c>
      <c r="H9" s="38">
        <f>Emro!Q21</f>
        <v>19228672.270399999</v>
      </c>
      <c r="I9" s="38">
        <f>Emro!R21</f>
        <v>17009979.3161234</v>
      </c>
      <c r="J9" s="16">
        <v>105692</v>
      </c>
      <c r="K9" s="16">
        <f t="shared" si="0"/>
        <v>124920.6722704</v>
      </c>
      <c r="M9" s="172"/>
      <c r="N9" s="172"/>
      <c r="O9" s="173"/>
      <c r="P9" s="172"/>
      <c r="Q9" s="172"/>
      <c r="R9" s="172"/>
      <c r="S9" s="172"/>
      <c r="T9" s="172"/>
    </row>
    <row r="10" spans="1:20" x14ac:dyDescent="0.25">
      <c r="A10" s="37" t="s">
        <v>286</v>
      </c>
      <c r="B10" s="38">
        <f>Euro!B33</f>
        <v>224441282</v>
      </c>
      <c r="C10" s="38">
        <f>Euro!C33</f>
        <v>197595200</v>
      </c>
      <c r="D10" s="38">
        <f>Euro!J33</f>
        <v>5893</v>
      </c>
      <c r="E10" s="38">
        <f>Euro!K33</f>
        <v>257348</v>
      </c>
      <c r="F10" s="38">
        <f>Euro!Q33</f>
        <v>14608.759177800001</v>
      </c>
      <c r="G10" s="38">
        <f>Euro!R33</f>
        <v>11237507.059846099</v>
      </c>
      <c r="H10" s="38">
        <f>Euro!S33</f>
        <v>14608759.1778</v>
      </c>
      <c r="I10" s="38">
        <f>Euro!T33</f>
        <v>12923133.1188235</v>
      </c>
      <c r="J10" s="16">
        <v>210216</v>
      </c>
      <c r="K10" s="16">
        <f t="shared" si="0"/>
        <v>224824.75917780001</v>
      </c>
      <c r="M10" s="172"/>
      <c r="N10" s="172"/>
      <c r="O10" s="173"/>
      <c r="P10" s="172"/>
      <c r="Q10" s="172"/>
      <c r="R10" s="172"/>
      <c r="S10" s="172"/>
      <c r="T10" s="172"/>
    </row>
    <row r="11" spans="1:20" x14ac:dyDescent="0.25">
      <c r="A11" s="37" t="s">
        <v>287</v>
      </c>
      <c r="B11" s="38">
        <f>Searo!B15</f>
        <v>759562909</v>
      </c>
      <c r="C11" s="38">
        <f>Searo!C15</f>
        <v>201728000</v>
      </c>
      <c r="D11" s="38">
        <f>Searo!J15</f>
        <v>683</v>
      </c>
      <c r="E11" s="38">
        <f>Searo!K15</f>
        <v>147348</v>
      </c>
      <c r="F11" s="38">
        <f>Searo!O15</f>
        <v>114732.0531677</v>
      </c>
      <c r="G11" s="38">
        <f>Searo!P15</f>
        <v>88255425.513615295</v>
      </c>
      <c r="H11" s="38">
        <f>Searo!Q15</f>
        <v>114732053.16769999</v>
      </c>
      <c r="I11" s="38">
        <f>Searo!R15</f>
        <v>101493739.34065799</v>
      </c>
      <c r="J11" s="16">
        <v>494474</v>
      </c>
      <c r="K11" s="16">
        <f t="shared" si="0"/>
        <v>609206.05316769995</v>
      </c>
      <c r="M11" s="172"/>
      <c r="N11" s="172"/>
      <c r="O11" s="173"/>
      <c r="P11" s="172"/>
      <c r="Q11" s="172"/>
      <c r="R11" s="172"/>
      <c r="S11" s="172"/>
      <c r="T11" s="172"/>
    </row>
    <row r="12" spans="1:20" x14ac:dyDescent="0.25">
      <c r="A12" s="37" t="s">
        <v>288</v>
      </c>
      <c r="B12" s="38">
        <f>Wpro!B36</f>
        <v>923223849</v>
      </c>
      <c r="C12" s="38">
        <f>Wpro!C36</f>
        <v>879108945</v>
      </c>
      <c r="D12" s="38">
        <f>Wpro!J36</f>
        <v>195</v>
      </c>
      <c r="E12" s="38">
        <f>Wpro!K36</f>
        <v>3759</v>
      </c>
      <c r="F12" s="7">
        <f>Wpro!O36</f>
        <v>115069.35850640001</v>
      </c>
      <c r="G12" s="38">
        <f>Wpro!P36</f>
        <v>88514891.158768907</v>
      </c>
      <c r="H12" s="38">
        <f>Wpro!Q36</f>
        <v>115069358.5064</v>
      </c>
      <c r="I12" s="38">
        <f>Wpro!R36</f>
        <v>101792124.83258501</v>
      </c>
      <c r="J12" s="16">
        <v>483100</v>
      </c>
      <c r="K12" s="16">
        <f t="shared" si="0"/>
        <v>598169.35850640002</v>
      </c>
      <c r="M12" s="172"/>
      <c r="N12" s="172"/>
      <c r="O12" s="173"/>
      <c r="P12" s="172"/>
      <c r="Q12" s="172"/>
      <c r="R12" s="172"/>
      <c r="S12" s="172"/>
      <c r="T12" s="172"/>
    </row>
    <row r="13" spans="1:20" x14ac:dyDescent="0.25">
      <c r="A13" s="39" t="s">
        <v>231</v>
      </c>
      <c r="B13" s="43">
        <f t="shared" ref="B13:J13" si="1">SUM(B6:B12)</f>
        <v>3200509548</v>
      </c>
      <c r="C13" s="43">
        <f t="shared" si="1"/>
        <v>2221629916</v>
      </c>
      <c r="D13" s="43">
        <f t="shared" si="1"/>
        <v>14222</v>
      </c>
      <c r="E13" s="43">
        <f t="shared" si="1"/>
        <v>5737433.4000000004</v>
      </c>
      <c r="F13" s="43">
        <f t="shared" si="1"/>
        <v>352769.11583640001</v>
      </c>
      <c r="G13" s="43">
        <f t="shared" si="1"/>
        <v>271360858.33569211</v>
      </c>
      <c r="H13" s="43">
        <f t="shared" si="1"/>
        <v>352769115.83639997</v>
      </c>
      <c r="I13" s="43">
        <f t="shared" si="1"/>
        <v>313206348.39374316</v>
      </c>
      <c r="J13" s="170">
        <f t="shared" si="1"/>
        <v>1979262</v>
      </c>
      <c r="K13" s="174">
        <f>SUM(F13+J13)</f>
        <v>2332031.1158364001</v>
      </c>
      <c r="M13" s="172"/>
      <c r="N13" s="172"/>
      <c r="O13" s="173"/>
      <c r="P13" s="172"/>
      <c r="Q13" s="172"/>
      <c r="R13" s="172"/>
      <c r="S13" s="172"/>
      <c r="T13" s="172"/>
    </row>
    <row r="14" spans="1:20" x14ac:dyDescent="0.25">
      <c r="M14" s="167"/>
      <c r="N14" s="167"/>
      <c r="O14" s="167"/>
      <c r="P14" s="167"/>
      <c r="Q14" s="167"/>
      <c r="R14" s="167"/>
      <c r="S14" s="167"/>
      <c r="T14" s="167"/>
    </row>
    <row r="15" spans="1:20" x14ac:dyDescent="0.25">
      <c r="A15" s="181" t="s">
        <v>389</v>
      </c>
      <c r="B15" s="181"/>
      <c r="C15" s="181"/>
      <c r="D15" s="181"/>
      <c r="E15" s="181"/>
      <c r="F15" s="181"/>
      <c r="G15" s="181"/>
      <c r="H15" s="181"/>
      <c r="I15" s="181"/>
    </row>
    <row r="16" spans="1:20" x14ac:dyDescent="0.25">
      <c r="A16" s="181"/>
      <c r="B16" s="181"/>
      <c r="C16" s="181"/>
      <c r="D16" s="181"/>
      <c r="E16" s="181"/>
      <c r="F16" s="181"/>
      <c r="G16" s="181"/>
      <c r="H16" s="181"/>
      <c r="I16" s="181"/>
    </row>
    <row r="17" spans="1:9" x14ac:dyDescent="0.25">
      <c r="A17" s="181"/>
      <c r="B17" s="181"/>
      <c r="C17" s="181"/>
      <c r="D17" s="181"/>
      <c r="E17" s="181"/>
      <c r="F17" s="181"/>
      <c r="G17" s="181"/>
      <c r="H17" s="181"/>
      <c r="I17" s="181"/>
    </row>
  </sheetData>
  <mergeCells count="5">
    <mergeCell ref="D3:E4"/>
    <mergeCell ref="F3:I3"/>
    <mergeCell ref="F4:F5"/>
    <mergeCell ref="G4:I4"/>
    <mergeCell ref="A15:I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22"/>
  <sheetViews>
    <sheetView workbookViewId="0">
      <selection activeCell="F14" sqref="F14"/>
    </sheetView>
  </sheetViews>
  <sheetFormatPr defaultRowHeight="12" x14ac:dyDescent="0.2"/>
  <cols>
    <col min="1" max="16384" width="9.140625" style="1"/>
  </cols>
  <sheetData>
    <row r="3" spans="1:10" x14ac:dyDescent="0.2">
      <c r="A3" s="20" t="s">
        <v>357</v>
      </c>
    </row>
    <row r="4" spans="1:10" x14ac:dyDescent="0.2">
      <c r="A4" s="20" t="s">
        <v>380</v>
      </c>
    </row>
    <row r="6" spans="1:10" x14ac:dyDescent="0.2">
      <c r="A6" s="20"/>
      <c r="B6" s="32" t="s">
        <v>394</v>
      </c>
      <c r="C6" s="20"/>
      <c r="D6" s="20"/>
      <c r="E6" s="20"/>
      <c r="F6" s="20"/>
    </row>
    <row r="7" spans="1:10" x14ac:dyDescent="0.2">
      <c r="A7" s="20"/>
      <c r="B7" s="32" t="s">
        <v>237</v>
      </c>
      <c r="C7" s="32" t="s">
        <v>240</v>
      </c>
      <c r="D7" s="20"/>
      <c r="E7" s="32" t="s">
        <v>281</v>
      </c>
      <c r="F7" s="32" t="s">
        <v>282</v>
      </c>
    </row>
    <row r="8" spans="1:10" x14ac:dyDescent="0.2">
      <c r="A8" s="20"/>
      <c r="B8" s="20"/>
      <c r="C8" s="20"/>
      <c r="D8" s="139" t="s">
        <v>378</v>
      </c>
      <c r="E8" s="139" t="s">
        <v>378</v>
      </c>
      <c r="F8" s="139" t="s">
        <v>378</v>
      </c>
    </row>
    <row r="9" spans="1:10" x14ac:dyDescent="0.2">
      <c r="A9" s="20" t="s">
        <v>14</v>
      </c>
      <c r="B9" s="34">
        <v>182</v>
      </c>
      <c r="C9" s="30">
        <v>78413</v>
      </c>
      <c r="D9" s="36">
        <f>B9*100/C9</f>
        <v>0.23210437044877763</v>
      </c>
      <c r="E9" s="140">
        <f>SUM(D9:D22)/14</f>
        <v>0.1278231973730895</v>
      </c>
      <c r="F9" s="140">
        <f>SUM(D12:D14)/3</f>
        <v>9.7048365545426896E-2</v>
      </c>
    </row>
    <row r="10" spans="1:10" x14ac:dyDescent="0.2">
      <c r="A10" s="20" t="s">
        <v>21</v>
      </c>
      <c r="B10" s="34">
        <v>74</v>
      </c>
      <c r="C10" s="30">
        <v>67263</v>
      </c>
      <c r="D10" s="36">
        <f t="shared" ref="D10:D22" si="0">B10*100/C10</f>
        <v>0.11001590770557364</v>
      </c>
      <c r="E10" s="36"/>
      <c r="F10" s="36"/>
    </row>
    <row r="11" spans="1:10" ht="15" x14ac:dyDescent="0.25">
      <c r="A11" s="20" t="s">
        <v>54</v>
      </c>
      <c r="B11" s="34">
        <v>41</v>
      </c>
      <c r="C11" s="35">
        <v>62523</v>
      </c>
      <c r="D11" s="36">
        <f t="shared" si="0"/>
        <v>6.5575868080546357E-2</v>
      </c>
      <c r="E11" s="36"/>
      <c r="F11" s="36"/>
      <c r="I11"/>
      <c r="J11"/>
    </row>
    <row r="12" spans="1:10" s="20" customFormat="1" ht="15" x14ac:dyDescent="0.25">
      <c r="A12" s="142" t="s">
        <v>68</v>
      </c>
      <c r="B12" s="34">
        <v>37</v>
      </c>
      <c r="C12" s="35">
        <v>48263</v>
      </c>
      <c r="D12" s="36">
        <f t="shared" si="0"/>
        <v>7.6663282431676444E-2</v>
      </c>
      <c r="E12" s="36"/>
      <c r="F12" s="36"/>
      <c r="I12"/>
      <c r="J12"/>
    </row>
    <row r="13" spans="1:10" s="20" customFormat="1" ht="15" x14ac:dyDescent="0.25">
      <c r="A13" s="142" t="s">
        <v>69</v>
      </c>
      <c r="B13" s="34">
        <v>550</v>
      </c>
      <c r="C13" s="35">
        <v>358205</v>
      </c>
      <c r="D13" s="36">
        <f t="shared" si="0"/>
        <v>0.15354336204128921</v>
      </c>
      <c r="E13" s="36"/>
      <c r="F13" s="36"/>
      <c r="I13"/>
      <c r="J13"/>
    </row>
    <row r="14" spans="1:10" s="20" customFormat="1" ht="15" x14ac:dyDescent="0.25">
      <c r="A14" s="142" t="s">
        <v>75</v>
      </c>
      <c r="B14" s="34">
        <v>567</v>
      </c>
      <c r="C14" s="30">
        <v>930447</v>
      </c>
      <c r="D14" s="36">
        <f t="shared" si="0"/>
        <v>6.0938452163315053E-2</v>
      </c>
      <c r="E14" s="36"/>
      <c r="F14" s="36"/>
      <c r="I14"/>
      <c r="J14"/>
    </row>
    <row r="15" spans="1:10" s="20" customFormat="1" ht="15" x14ac:dyDescent="0.25">
      <c r="A15" s="20" t="s">
        <v>97</v>
      </c>
      <c r="B15" s="34">
        <v>42</v>
      </c>
      <c r="C15" s="35">
        <v>19294</v>
      </c>
      <c r="D15" s="36">
        <f t="shared" si="0"/>
        <v>0.21768425417228154</v>
      </c>
      <c r="E15" s="36"/>
      <c r="F15" s="36"/>
      <c r="I15"/>
      <c r="J15"/>
    </row>
    <row r="16" spans="1:10" s="20" customFormat="1" ht="15" x14ac:dyDescent="0.25">
      <c r="A16" s="20" t="s">
        <v>100</v>
      </c>
      <c r="B16" s="34">
        <v>718</v>
      </c>
      <c r="C16" s="30">
        <v>437821</v>
      </c>
      <c r="D16" s="36">
        <f t="shared" si="0"/>
        <v>0.16399396100232744</v>
      </c>
      <c r="E16" s="36"/>
      <c r="F16" s="36"/>
      <c r="I16"/>
      <c r="J16"/>
    </row>
    <row r="17" spans="1:10" s="20" customFormat="1" ht="15" x14ac:dyDescent="0.25">
      <c r="A17" s="20" t="s">
        <v>120</v>
      </c>
      <c r="B17" s="34">
        <v>15</v>
      </c>
      <c r="C17" s="35">
        <v>6983</v>
      </c>
      <c r="D17" s="36">
        <f t="shared" si="0"/>
        <v>0.21480738937419447</v>
      </c>
      <c r="E17" s="36"/>
      <c r="F17" s="36"/>
      <c r="I17"/>
      <c r="J17"/>
    </row>
    <row r="18" spans="1:10" x14ac:dyDescent="0.2">
      <c r="A18" s="20" t="s">
        <v>147</v>
      </c>
      <c r="B18" s="34">
        <v>79</v>
      </c>
      <c r="C18" s="35">
        <v>183005</v>
      </c>
      <c r="D18" s="36">
        <f t="shared" si="0"/>
        <v>4.3168219447556076E-2</v>
      </c>
      <c r="E18" s="36"/>
      <c r="F18" s="36"/>
    </row>
    <row r="19" spans="1:10" x14ac:dyDescent="0.2">
      <c r="A19" s="20" t="s">
        <v>167</v>
      </c>
      <c r="B19" s="34">
        <v>204</v>
      </c>
      <c r="C19" s="35">
        <v>130271</v>
      </c>
      <c r="D19" s="36">
        <f t="shared" si="0"/>
        <v>0.15659663317238678</v>
      </c>
      <c r="E19" s="36"/>
      <c r="F19" s="36"/>
    </row>
    <row r="20" spans="1:10" x14ac:dyDescent="0.2">
      <c r="A20" s="20" t="s">
        <v>193</v>
      </c>
      <c r="B20" s="34">
        <v>338</v>
      </c>
      <c r="C20" s="35">
        <v>493789</v>
      </c>
      <c r="D20" s="36">
        <f t="shared" si="0"/>
        <v>6.8450289496120809E-2</v>
      </c>
      <c r="E20" s="36"/>
      <c r="F20" s="36"/>
    </row>
    <row r="21" spans="1:10" x14ac:dyDescent="0.2">
      <c r="A21" s="20" t="s">
        <v>198</v>
      </c>
      <c r="B21" s="34">
        <v>54</v>
      </c>
      <c r="C21" s="35">
        <v>34201</v>
      </c>
      <c r="D21" s="36">
        <f t="shared" si="0"/>
        <v>0.1578901201719248</v>
      </c>
      <c r="E21" s="36"/>
      <c r="F21" s="36"/>
    </row>
    <row r="22" spans="1:10" x14ac:dyDescent="0.2">
      <c r="A22" s="20" t="s">
        <v>218</v>
      </c>
      <c r="B22" s="34">
        <v>172</v>
      </c>
      <c r="C22" s="35">
        <v>252597</v>
      </c>
      <c r="D22" s="36">
        <f t="shared" si="0"/>
        <v>6.8092653515283236E-2</v>
      </c>
      <c r="E22" s="36"/>
      <c r="F22" s="36"/>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6"/>
  <sheetViews>
    <sheetView zoomScaleNormal="100" workbookViewId="0">
      <pane xSplit="1" ySplit="3" topLeftCell="B4" activePane="bottomRight" state="frozen"/>
      <selection pane="topRight" activeCell="B1" sqref="B1"/>
      <selection pane="bottomLeft" activeCell="A4" sqref="A4"/>
      <selection pane="bottomRight" activeCell="V49" sqref="V49"/>
    </sheetView>
  </sheetViews>
  <sheetFormatPr defaultRowHeight="12" x14ac:dyDescent="0.2"/>
  <cols>
    <col min="1" max="1" width="32.85546875" style="20" bestFit="1" customWidth="1"/>
    <col min="2" max="2" width="11.5703125" style="20" customWidth="1"/>
    <col min="3" max="3" width="10" style="20" bestFit="1" customWidth="1"/>
    <col min="4" max="4" width="8.7109375" style="20" bestFit="1" customWidth="1"/>
    <col min="5" max="5" width="6.7109375" style="20" bestFit="1" customWidth="1"/>
    <col min="6" max="6" width="6.140625" style="20" bestFit="1" customWidth="1"/>
    <col min="7" max="7" width="8.7109375" style="20" bestFit="1" customWidth="1"/>
    <col min="8" max="9" width="9.5703125" style="20" bestFit="1" customWidth="1"/>
    <col min="10" max="11" width="9.140625" style="20"/>
    <col min="12" max="13" width="10.28515625" style="20" customWidth="1"/>
    <col min="14" max="14" width="8.7109375" style="20" bestFit="1" customWidth="1"/>
    <col min="15" max="15" width="6.7109375" style="20" bestFit="1" customWidth="1"/>
    <col min="16" max="16" width="6.140625" style="20" bestFit="1" customWidth="1"/>
    <col min="17" max="17" width="5.7109375" style="20" bestFit="1" customWidth="1"/>
    <col min="18" max="18" width="9.7109375" style="20" bestFit="1" customWidth="1"/>
    <col min="19" max="19" width="9.7109375" style="20" customWidth="1"/>
    <col min="20" max="20" width="8.7109375" style="20" bestFit="1" customWidth="1"/>
    <col min="21" max="21" width="9.140625" style="20"/>
    <col min="22" max="22" width="12.7109375" style="20" customWidth="1"/>
    <col min="23" max="16384" width="9.140625" style="20"/>
  </cols>
  <sheetData>
    <row r="1" spans="1:24" ht="12" customHeight="1" x14ac:dyDescent="0.2">
      <c r="A1" s="2" t="s">
        <v>401</v>
      </c>
      <c r="B1" s="3"/>
      <c r="G1" s="187" t="s">
        <v>369</v>
      </c>
      <c r="H1" s="187"/>
      <c r="I1" s="187"/>
      <c r="J1" s="184" t="s">
        <v>241</v>
      </c>
      <c r="K1" s="184"/>
      <c r="L1" s="184" t="s">
        <v>379</v>
      </c>
      <c r="M1" s="184"/>
      <c r="N1" s="188" t="s">
        <v>388</v>
      </c>
      <c r="O1" s="188"/>
      <c r="P1" s="188"/>
      <c r="Q1" s="188"/>
      <c r="R1" s="188"/>
      <c r="S1" s="188"/>
      <c r="T1" s="188"/>
      <c r="U1" s="188"/>
    </row>
    <row r="2" spans="1:24" ht="12" customHeight="1" x14ac:dyDescent="0.2">
      <c r="A2" s="2"/>
      <c r="B2" s="3"/>
      <c r="D2" s="185" t="s">
        <v>236</v>
      </c>
      <c r="E2" s="185"/>
      <c r="F2" s="185"/>
      <c r="G2" s="187"/>
      <c r="H2" s="187"/>
      <c r="I2" s="187"/>
      <c r="J2" s="184"/>
      <c r="K2" s="184"/>
      <c r="L2" s="184"/>
      <c r="M2" s="184"/>
      <c r="N2" s="186" t="s">
        <v>387</v>
      </c>
      <c r="O2" s="186"/>
      <c r="P2" s="186"/>
      <c r="Q2" s="186"/>
      <c r="R2" s="184" t="s">
        <v>395</v>
      </c>
      <c r="S2" s="184"/>
      <c r="T2" s="184"/>
      <c r="U2" s="189" t="s">
        <v>386</v>
      </c>
    </row>
    <row r="3" spans="1:24" ht="36" x14ac:dyDescent="0.2">
      <c r="A3" s="4" t="s">
        <v>0</v>
      </c>
      <c r="B3" s="4" t="s">
        <v>1</v>
      </c>
      <c r="C3" s="4" t="s">
        <v>232</v>
      </c>
      <c r="D3" s="18" t="s">
        <v>233</v>
      </c>
      <c r="E3" s="18" t="s">
        <v>234</v>
      </c>
      <c r="F3" s="18" t="s">
        <v>235</v>
      </c>
      <c r="G3" s="18" t="s">
        <v>233</v>
      </c>
      <c r="H3" s="18" t="s">
        <v>234</v>
      </c>
      <c r="I3" s="18" t="s">
        <v>235</v>
      </c>
      <c r="J3" s="18" t="s">
        <v>237</v>
      </c>
      <c r="K3" s="18" t="s">
        <v>240</v>
      </c>
      <c r="L3" s="18" t="s">
        <v>237</v>
      </c>
      <c r="M3" s="158" t="s">
        <v>240</v>
      </c>
      <c r="N3" s="18" t="s">
        <v>233</v>
      </c>
      <c r="O3" s="18" t="s">
        <v>234</v>
      </c>
      <c r="P3" s="18" t="s">
        <v>235</v>
      </c>
      <c r="Q3" s="18" t="s">
        <v>231</v>
      </c>
      <c r="R3" s="18" t="s">
        <v>381</v>
      </c>
      <c r="S3" s="18" t="s">
        <v>382</v>
      </c>
      <c r="T3" s="18" t="s">
        <v>239</v>
      </c>
      <c r="U3" s="189"/>
      <c r="V3" s="168" t="s">
        <v>398</v>
      </c>
      <c r="W3" s="40" t="s">
        <v>400</v>
      </c>
    </row>
    <row r="4" spans="1:24" x14ac:dyDescent="0.2">
      <c r="A4" s="6" t="s">
        <v>6</v>
      </c>
      <c r="B4" s="8">
        <v>41000</v>
      </c>
      <c r="C4" s="7"/>
      <c r="D4" s="19">
        <v>0.4</v>
      </c>
      <c r="E4" s="19">
        <v>4.7</v>
      </c>
      <c r="F4" s="19">
        <v>94.9</v>
      </c>
      <c r="G4" s="30">
        <f>ROUND(D4/100*B4,2)</f>
        <v>164</v>
      </c>
      <c r="H4" s="30">
        <f>ROUND(E4/100*B4,2)</f>
        <v>1927</v>
      </c>
      <c r="I4" s="30">
        <f>ROUND(F4/100*B4,2)</f>
        <v>38909</v>
      </c>
      <c r="J4" s="8"/>
      <c r="K4" s="30"/>
      <c r="L4" s="30"/>
      <c r="M4" s="30"/>
      <c r="N4" s="30">
        <f>ROUND(7.8*G4/100000,7)</f>
        <v>1.2792E-2</v>
      </c>
      <c r="O4" s="30">
        <f>ROUND(3.8*H4/100000,7)</f>
        <v>7.3225999999999999E-2</v>
      </c>
      <c r="P4" s="30">
        <f>ROUND(1.5*I4/100000,7)</f>
        <v>0.58363500000000001</v>
      </c>
      <c r="Q4" s="30">
        <f>ROUND(SUM(N4:P4),7)</f>
        <v>0.66965300000000005</v>
      </c>
      <c r="R4" s="30">
        <f>ROUND(Q4*100/0.13,7)</f>
        <v>515.11769230000004</v>
      </c>
      <c r="S4" s="30">
        <f>ROUND(Q4*100/0.1,7)</f>
        <v>669.65300000000002</v>
      </c>
      <c r="T4" s="30">
        <f>ROUND((R4+S4)/2,7)</f>
        <v>592.38534619999996</v>
      </c>
      <c r="U4" s="30">
        <f>T4</f>
        <v>592.38534619999996</v>
      </c>
      <c r="V4" s="30">
        <v>31.847838446884403</v>
      </c>
      <c r="W4" s="30">
        <f>SUM(Q4+V4)</f>
        <v>32.517491446884399</v>
      </c>
      <c r="X4" s="30"/>
    </row>
    <row r="5" spans="1:24" x14ac:dyDescent="0.2">
      <c r="A5" s="6" t="s">
        <v>13</v>
      </c>
      <c r="B5" s="8">
        <v>11832600</v>
      </c>
      <c r="C5" s="9">
        <v>11214500</v>
      </c>
      <c r="D5" s="19">
        <v>3.3</v>
      </c>
      <c r="E5" s="19">
        <v>20.9</v>
      </c>
      <c r="F5" s="19">
        <v>75.7</v>
      </c>
      <c r="G5" s="30">
        <f>ROUND(D5/100*C5,2)</f>
        <v>370078.5</v>
      </c>
      <c r="H5" s="30">
        <f>ROUND(E5/100*C5,2)</f>
        <v>2343830.5</v>
      </c>
      <c r="I5" s="30">
        <f>ROUND(F5/100*C5,2)</f>
        <v>8489376.5</v>
      </c>
      <c r="J5" s="8">
        <v>216</v>
      </c>
      <c r="K5" s="7">
        <v>92305</v>
      </c>
      <c r="L5" s="7"/>
      <c r="M5" s="7"/>
      <c r="N5" s="30"/>
      <c r="O5" s="30"/>
      <c r="P5" s="30"/>
      <c r="Q5" s="30">
        <f>J5</f>
        <v>216</v>
      </c>
      <c r="R5" s="30">
        <f t="shared" ref="R5:R18" si="0">ROUND(Q5*100/0.13,7)</f>
        <v>166153.8461538</v>
      </c>
      <c r="S5" s="30">
        <f t="shared" ref="S5:S18" si="1">ROUND(Q5*100/0.1,7)</f>
        <v>216000</v>
      </c>
      <c r="T5" s="30">
        <f t="shared" ref="T5:T18" si="2">ROUND((R5+S5)/2,7)</f>
        <v>191076.92307690001</v>
      </c>
      <c r="U5" s="30">
        <f t="shared" ref="U5:U12" si="3">T5</f>
        <v>191076.92307690001</v>
      </c>
      <c r="V5" s="30">
        <v>9191.2861757708397</v>
      </c>
      <c r="W5" s="30">
        <f t="shared" ref="W5:W49" si="4">SUM(Q5+V5)</f>
        <v>9407.2861757708397</v>
      </c>
      <c r="X5" s="30"/>
    </row>
    <row r="6" spans="1:24" x14ac:dyDescent="0.2">
      <c r="A6" s="6" t="s">
        <v>14</v>
      </c>
      <c r="B6" s="8">
        <v>4284600</v>
      </c>
      <c r="C6" s="8">
        <v>4096300</v>
      </c>
      <c r="D6" s="19">
        <v>5.5</v>
      </c>
      <c r="E6" s="19">
        <v>26</v>
      </c>
      <c r="F6" s="19">
        <v>68.5</v>
      </c>
      <c r="G6" s="30">
        <f t="shared" ref="G6:G18" si="5">ROUND(D6/100*C6,2)</f>
        <v>225296.5</v>
      </c>
      <c r="H6" s="30">
        <f t="shared" ref="H6:H18" si="6">ROUND(E6/100*C6,2)</f>
        <v>1065038</v>
      </c>
      <c r="I6" s="30">
        <f t="shared" ref="I6:I18" si="7">ROUND(F6/100*C6,2)</f>
        <v>2805965.5</v>
      </c>
      <c r="J6" s="8">
        <v>185</v>
      </c>
      <c r="K6" s="141">
        <v>117775</v>
      </c>
      <c r="L6" s="141">
        <v>182</v>
      </c>
      <c r="M6" s="141">
        <v>78413</v>
      </c>
      <c r="N6" s="30"/>
      <c r="O6" s="30"/>
      <c r="P6" s="30"/>
      <c r="Q6" s="30">
        <f>J6</f>
        <v>185</v>
      </c>
      <c r="R6" s="30">
        <f t="shared" si="0"/>
        <v>142307.6923077</v>
      </c>
      <c r="S6" s="30">
        <f t="shared" si="1"/>
        <v>185000</v>
      </c>
      <c r="T6" s="30">
        <f t="shared" si="2"/>
        <v>163653.8461539</v>
      </c>
      <c r="U6" s="30">
        <f t="shared" si="3"/>
        <v>163653.8461539</v>
      </c>
      <c r="V6" s="30">
        <v>3328.1767953541685</v>
      </c>
      <c r="W6" s="30">
        <f t="shared" si="4"/>
        <v>3513.1767953541685</v>
      </c>
      <c r="X6" s="30"/>
    </row>
    <row r="7" spans="1:24" x14ac:dyDescent="0.2">
      <c r="A7" s="6" t="s">
        <v>16</v>
      </c>
      <c r="B7" s="9">
        <v>207327</v>
      </c>
      <c r="C7" s="9">
        <v>157800</v>
      </c>
      <c r="D7" s="19">
        <v>2.9</v>
      </c>
      <c r="E7" s="19">
        <v>16</v>
      </c>
      <c r="F7" s="19">
        <v>81.2</v>
      </c>
      <c r="G7" s="30">
        <f t="shared" si="5"/>
        <v>4576.2</v>
      </c>
      <c r="H7" s="30">
        <f t="shared" si="6"/>
        <v>25248</v>
      </c>
      <c r="I7" s="30">
        <f t="shared" si="7"/>
        <v>128133.6</v>
      </c>
      <c r="J7" s="8"/>
      <c r="K7" s="7"/>
      <c r="L7" s="7"/>
      <c r="M7" s="7"/>
      <c r="N7" s="30">
        <f t="shared" ref="N7:N8" si="8">ROUND(7.8*G7/100000,7)</f>
        <v>0.35694360000000003</v>
      </c>
      <c r="O7" s="30">
        <f t="shared" ref="O7:O8" si="9">ROUND(3.8*H7/100000,7)</f>
        <v>0.95942400000000005</v>
      </c>
      <c r="P7" s="30">
        <f t="shared" ref="P7:P8" si="10">ROUND(1.5*I7/100000,7)</f>
        <v>1.922004</v>
      </c>
      <c r="Q7" s="30">
        <f t="shared" ref="Q7:Q8" si="11">ROUND(SUM(N7:P7),7)</f>
        <v>3.2383715999999998</v>
      </c>
      <c r="R7" s="30">
        <f t="shared" si="0"/>
        <v>2491.0550769000001</v>
      </c>
      <c r="S7" s="30">
        <f t="shared" si="1"/>
        <v>3238.3715999999999</v>
      </c>
      <c r="T7" s="30">
        <f t="shared" si="2"/>
        <v>2864.7133385000002</v>
      </c>
      <c r="U7" s="30">
        <f t="shared" si="3"/>
        <v>2864.7133385000002</v>
      </c>
      <c r="V7" s="30">
        <v>161.0467512604196</v>
      </c>
      <c r="W7" s="30">
        <f t="shared" si="4"/>
        <v>164.28512286041959</v>
      </c>
      <c r="X7" s="30"/>
    </row>
    <row r="8" spans="1:24" x14ac:dyDescent="0.2">
      <c r="A8" s="6" t="s">
        <v>17</v>
      </c>
      <c r="B8" s="8">
        <v>711200</v>
      </c>
      <c r="C8" s="7">
        <v>703200</v>
      </c>
      <c r="D8" s="19">
        <v>1</v>
      </c>
      <c r="E8" s="19">
        <v>79</v>
      </c>
      <c r="F8" s="19">
        <v>20</v>
      </c>
      <c r="G8" s="30">
        <f t="shared" si="5"/>
        <v>7032</v>
      </c>
      <c r="H8" s="30">
        <f t="shared" si="6"/>
        <v>555528</v>
      </c>
      <c r="I8" s="30">
        <f t="shared" si="7"/>
        <v>140640</v>
      </c>
      <c r="J8" s="8"/>
      <c r="K8" s="7"/>
      <c r="L8" s="7"/>
      <c r="M8" s="7"/>
      <c r="N8" s="30">
        <f t="shared" si="8"/>
        <v>0.54849599999999998</v>
      </c>
      <c r="O8" s="30">
        <f t="shared" si="9"/>
        <v>21.110064000000001</v>
      </c>
      <c r="P8" s="30">
        <f t="shared" si="10"/>
        <v>2.1095999999999999</v>
      </c>
      <c r="Q8" s="30">
        <f t="shared" si="11"/>
        <v>23.768160000000002</v>
      </c>
      <c r="R8" s="30">
        <f t="shared" si="0"/>
        <v>18283.2</v>
      </c>
      <c r="S8" s="30">
        <f t="shared" si="1"/>
        <v>23768.16</v>
      </c>
      <c r="T8" s="30">
        <f t="shared" si="2"/>
        <v>21025.68</v>
      </c>
      <c r="U8" s="30">
        <f t="shared" si="3"/>
        <v>21025.68</v>
      </c>
      <c r="V8" s="30">
        <v>552.44348057132163</v>
      </c>
      <c r="W8" s="30">
        <f t="shared" si="4"/>
        <v>576.2116405713216</v>
      </c>
      <c r="X8" s="30"/>
    </row>
    <row r="9" spans="1:24" x14ac:dyDescent="0.2">
      <c r="A9" s="6" t="s">
        <v>21</v>
      </c>
      <c r="B9" s="8">
        <v>4894600</v>
      </c>
      <c r="C9" s="7">
        <v>4488700</v>
      </c>
      <c r="D9" s="19">
        <v>1.8</v>
      </c>
      <c r="E9" s="19">
        <v>24.7</v>
      </c>
      <c r="F9" s="19">
        <v>73.5</v>
      </c>
      <c r="G9" s="30">
        <f t="shared" si="5"/>
        <v>80796.600000000006</v>
      </c>
      <c r="H9" s="30">
        <f t="shared" si="6"/>
        <v>1108708.8999999999</v>
      </c>
      <c r="I9" s="30">
        <f t="shared" si="7"/>
        <v>3299194.5</v>
      </c>
      <c r="J9" s="8">
        <v>82</v>
      </c>
      <c r="K9" s="7"/>
      <c r="L9" s="7">
        <v>74</v>
      </c>
      <c r="M9" s="7">
        <v>67263</v>
      </c>
      <c r="N9" s="30"/>
      <c r="O9" s="30"/>
      <c r="P9" s="30"/>
      <c r="Q9" s="30">
        <f>J9</f>
        <v>82</v>
      </c>
      <c r="R9" s="30">
        <f t="shared" si="0"/>
        <v>63076.923076899999</v>
      </c>
      <c r="S9" s="30">
        <f t="shared" si="1"/>
        <v>82000</v>
      </c>
      <c r="T9" s="30">
        <f t="shared" si="2"/>
        <v>72538.461538500007</v>
      </c>
      <c r="U9" s="30">
        <f t="shared" si="3"/>
        <v>72538.461538500007</v>
      </c>
      <c r="V9" s="30">
        <v>3802.01048932001</v>
      </c>
      <c r="W9" s="30">
        <f t="shared" si="4"/>
        <v>3884.01048932001</v>
      </c>
      <c r="X9" s="30"/>
    </row>
    <row r="10" spans="1:24" x14ac:dyDescent="0.2">
      <c r="A10" s="6" t="s">
        <v>30</v>
      </c>
      <c r="B10" s="7">
        <v>194951</v>
      </c>
      <c r="C10" s="7">
        <v>146300</v>
      </c>
      <c r="D10" s="19">
        <v>4.2</v>
      </c>
      <c r="E10" s="19">
        <v>62.8</v>
      </c>
      <c r="F10" s="19">
        <v>33</v>
      </c>
      <c r="G10" s="30">
        <f t="shared" si="5"/>
        <v>6144.6</v>
      </c>
      <c r="H10" s="30">
        <f t="shared" si="6"/>
        <v>91876.4</v>
      </c>
      <c r="I10" s="30">
        <f t="shared" si="7"/>
        <v>48279</v>
      </c>
      <c r="J10" s="8"/>
      <c r="K10" s="7"/>
      <c r="L10" s="7"/>
      <c r="M10" s="7"/>
      <c r="N10" s="30">
        <f>ROUND(7.8*G10/100000,7)</f>
        <v>0.4792788</v>
      </c>
      <c r="O10" s="30">
        <f>ROUND(3.8*H10/100000,7)</f>
        <v>3.4913031999999999</v>
      </c>
      <c r="P10" s="30">
        <f>ROUND(1.5*I10/100000,7)</f>
        <v>0.72418499999999997</v>
      </c>
      <c r="Q10" s="30">
        <f>ROUND(SUM(N10:P10),7)</f>
        <v>4.6947669999999997</v>
      </c>
      <c r="R10" s="30">
        <f t="shared" si="0"/>
        <v>3611.3592308000002</v>
      </c>
      <c r="S10" s="30">
        <f t="shared" si="1"/>
        <v>4694.7669999999998</v>
      </c>
      <c r="T10" s="30">
        <f t="shared" si="2"/>
        <v>4153.0631154000002</v>
      </c>
      <c r="U10" s="30">
        <f t="shared" si="3"/>
        <v>4153.0631154000002</v>
      </c>
      <c r="V10" s="30">
        <v>151.43336470874542</v>
      </c>
      <c r="W10" s="30">
        <f t="shared" si="4"/>
        <v>156.12813170874543</v>
      </c>
      <c r="X10" s="30"/>
    </row>
    <row r="11" spans="1:24" x14ac:dyDescent="0.2">
      <c r="A11" s="6" t="s">
        <v>36</v>
      </c>
      <c r="B11" s="8">
        <v>18525100</v>
      </c>
      <c r="C11" s="9">
        <v>17041000</v>
      </c>
      <c r="D11" s="22">
        <v>2.2000000000000002</v>
      </c>
      <c r="E11" s="24">
        <v>20.2</v>
      </c>
      <c r="F11" s="24">
        <v>77.599999999999994</v>
      </c>
      <c r="G11" s="30">
        <f t="shared" si="5"/>
        <v>374902</v>
      </c>
      <c r="H11" s="30">
        <f t="shared" si="6"/>
        <v>3442282</v>
      </c>
      <c r="I11" s="30">
        <f t="shared" si="7"/>
        <v>13223816</v>
      </c>
      <c r="J11" s="8">
        <v>381</v>
      </c>
      <c r="K11" s="7">
        <v>214057</v>
      </c>
      <c r="L11" s="7"/>
      <c r="M11" s="7"/>
      <c r="N11" s="30"/>
      <c r="O11" s="30"/>
      <c r="P11" s="30"/>
      <c r="Q11" s="30">
        <f>J11</f>
        <v>381</v>
      </c>
      <c r="R11" s="30">
        <f t="shared" si="0"/>
        <v>293076.92307690001</v>
      </c>
      <c r="S11" s="30">
        <f t="shared" si="1"/>
        <v>381000</v>
      </c>
      <c r="T11" s="30">
        <f t="shared" si="2"/>
        <v>337038.46153849998</v>
      </c>
      <c r="U11" s="30">
        <f t="shared" si="3"/>
        <v>337038.46153849998</v>
      </c>
      <c r="V11" s="30">
        <v>14389.863219814104</v>
      </c>
      <c r="W11" s="30">
        <f t="shared" si="4"/>
        <v>14770.863219814104</v>
      </c>
      <c r="X11" s="30"/>
    </row>
    <row r="12" spans="1:24" x14ac:dyDescent="0.2">
      <c r="A12" s="6" t="s">
        <v>52</v>
      </c>
      <c r="B12" s="8">
        <v>421600</v>
      </c>
      <c r="C12" s="8">
        <v>395200</v>
      </c>
      <c r="D12" s="19">
        <v>4.3</v>
      </c>
      <c r="E12" s="19">
        <v>22.6</v>
      </c>
      <c r="F12" s="19">
        <v>73</v>
      </c>
      <c r="G12" s="30">
        <f t="shared" si="5"/>
        <v>16993.599999999999</v>
      </c>
      <c r="H12" s="30">
        <f t="shared" si="6"/>
        <v>89315.199999999997</v>
      </c>
      <c r="I12" s="30">
        <f t="shared" si="7"/>
        <v>288496</v>
      </c>
      <c r="J12" s="8">
        <v>19</v>
      </c>
      <c r="K12" s="150">
        <v>2165</v>
      </c>
      <c r="L12" s="137">
        <v>19</v>
      </c>
      <c r="M12" s="150">
        <v>2165</v>
      </c>
      <c r="N12" s="30"/>
      <c r="O12" s="30"/>
      <c r="P12" s="30"/>
      <c r="Q12" s="30">
        <f>J12</f>
        <v>19</v>
      </c>
      <c r="R12" s="30">
        <f t="shared" si="0"/>
        <v>14615.3846154</v>
      </c>
      <c r="S12" s="30">
        <f t="shared" si="1"/>
        <v>19000</v>
      </c>
      <c r="T12" s="30">
        <f t="shared" si="2"/>
        <v>16807.692307699999</v>
      </c>
      <c r="U12" s="30">
        <f t="shared" si="3"/>
        <v>16807.692307699999</v>
      </c>
      <c r="V12" s="30">
        <v>327.4889924196699</v>
      </c>
      <c r="W12" s="30">
        <f t="shared" si="4"/>
        <v>346.4889924196699</v>
      </c>
      <c r="X12" s="30"/>
    </row>
    <row r="13" spans="1:24" x14ac:dyDescent="0.2">
      <c r="A13" s="6" t="s">
        <v>54</v>
      </c>
      <c r="B13" s="8">
        <v>2924400</v>
      </c>
      <c r="C13" s="9">
        <v>2706100</v>
      </c>
      <c r="D13" s="19">
        <v>2.6</v>
      </c>
      <c r="E13" s="19">
        <v>20.3</v>
      </c>
      <c r="F13" s="19">
        <v>77.099999999999994</v>
      </c>
      <c r="G13" s="30">
        <f t="shared" si="5"/>
        <v>70358.600000000006</v>
      </c>
      <c r="H13" s="30">
        <f t="shared" si="6"/>
        <v>549338.30000000005</v>
      </c>
      <c r="I13" s="30">
        <f t="shared" si="7"/>
        <v>2086403.1</v>
      </c>
      <c r="J13" s="8"/>
      <c r="K13" s="7"/>
      <c r="L13" s="7">
        <v>41</v>
      </c>
      <c r="M13" s="7">
        <v>62523</v>
      </c>
      <c r="N13" s="30"/>
      <c r="O13" s="30"/>
      <c r="P13" s="30"/>
      <c r="Q13" s="30">
        <f>L13</f>
        <v>41</v>
      </c>
      <c r="R13" s="30">
        <f t="shared" si="0"/>
        <v>31538.4615385</v>
      </c>
      <c r="S13" s="30">
        <f t="shared" si="1"/>
        <v>41000</v>
      </c>
      <c r="T13" s="30">
        <f t="shared" si="2"/>
        <v>36269.230769299997</v>
      </c>
      <c r="U13" s="7">
        <f>M13</f>
        <v>62523</v>
      </c>
      <c r="V13" s="30">
        <v>2271.6053354650917</v>
      </c>
      <c r="W13" s="30">
        <f t="shared" si="4"/>
        <v>2312.6053354650917</v>
      </c>
      <c r="X13" s="30"/>
    </row>
    <row r="14" spans="1:24" x14ac:dyDescent="0.2">
      <c r="A14" s="6" t="s">
        <v>68</v>
      </c>
      <c r="B14" s="8">
        <v>2671800</v>
      </c>
      <c r="C14" s="9">
        <v>2447500</v>
      </c>
      <c r="D14" s="19">
        <v>4.4000000000000004</v>
      </c>
      <c r="E14" s="19">
        <v>22.6</v>
      </c>
      <c r="F14" s="19">
        <v>73</v>
      </c>
      <c r="G14" s="30">
        <f t="shared" si="5"/>
        <v>107690</v>
      </c>
      <c r="H14" s="30">
        <f t="shared" si="6"/>
        <v>553135</v>
      </c>
      <c r="I14" s="30">
        <f t="shared" si="7"/>
        <v>1786675</v>
      </c>
      <c r="J14" s="8">
        <v>33</v>
      </c>
      <c r="K14" s="150">
        <v>50557</v>
      </c>
      <c r="L14" s="137">
        <v>37</v>
      </c>
      <c r="M14" s="150">
        <v>48263</v>
      </c>
      <c r="N14" s="30"/>
      <c r="O14" s="30"/>
      <c r="P14" s="30"/>
      <c r="Q14" s="30">
        <v>43</v>
      </c>
      <c r="R14" s="30">
        <f t="shared" si="0"/>
        <v>33076.923076899999</v>
      </c>
      <c r="S14" s="30">
        <f t="shared" si="1"/>
        <v>43000</v>
      </c>
      <c r="T14" s="30">
        <f t="shared" si="2"/>
        <v>38038.4615385</v>
      </c>
      <c r="U14" s="30">
        <v>52161</v>
      </c>
      <c r="V14" s="30">
        <v>2075.3915795703842</v>
      </c>
      <c r="W14" s="30">
        <f t="shared" si="4"/>
        <v>2118.3915795703842</v>
      </c>
      <c r="X14" s="30"/>
    </row>
    <row r="15" spans="1:24" x14ac:dyDescent="0.2">
      <c r="A15" s="6" t="s">
        <v>69</v>
      </c>
      <c r="B15" s="8">
        <v>28334000</v>
      </c>
      <c r="C15" s="8">
        <v>25694000</v>
      </c>
      <c r="D15" s="19">
        <v>3.1</v>
      </c>
      <c r="E15" s="19">
        <v>23.2</v>
      </c>
      <c r="F15" s="19">
        <v>73.7</v>
      </c>
      <c r="G15" s="30">
        <f t="shared" si="5"/>
        <v>796514</v>
      </c>
      <c r="H15" s="30">
        <f t="shared" si="6"/>
        <v>5961008</v>
      </c>
      <c r="I15" s="30">
        <f t="shared" si="7"/>
        <v>18936478</v>
      </c>
      <c r="J15" s="8">
        <v>529</v>
      </c>
      <c r="K15" s="7">
        <v>658847</v>
      </c>
      <c r="L15" s="7">
        <v>550</v>
      </c>
      <c r="M15" s="7">
        <v>358205</v>
      </c>
      <c r="N15" s="30"/>
      <c r="O15" s="30"/>
      <c r="P15" s="30"/>
      <c r="Q15" s="30">
        <f>L15</f>
        <v>550</v>
      </c>
      <c r="R15" s="30">
        <f t="shared" si="0"/>
        <v>423076.92307690001</v>
      </c>
      <c r="S15" s="30">
        <f t="shared" si="1"/>
        <v>550000</v>
      </c>
      <c r="T15" s="30">
        <f t="shared" si="2"/>
        <v>486538.46153849998</v>
      </c>
      <c r="U15" s="30">
        <f>K15</f>
        <v>658847</v>
      </c>
      <c r="V15" s="30">
        <v>22009.186696439578</v>
      </c>
      <c r="W15" s="30">
        <f t="shared" si="4"/>
        <v>22559.186696439578</v>
      </c>
      <c r="X15" s="30"/>
    </row>
    <row r="16" spans="1:24" x14ac:dyDescent="0.2">
      <c r="A16" s="6" t="s">
        <v>75</v>
      </c>
      <c r="B16" s="8">
        <v>41683400</v>
      </c>
      <c r="C16" s="8">
        <v>38737800</v>
      </c>
      <c r="D16" s="19">
        <v>1.6</v>
      </c>
      <c r="E16" s="19">
        <v>24.6</v>
      </c>
      <c r="F16" s="19">
        <v>73.8</v>
      </c>
      <c r="G16" s="30">
        <f t="shared" si="5"/>
        <v>619804.80000000005</v>
      </c>
      <c r="H16" s="30">
        <f t="shared" si="6"/>
        <v>9529498.8000000007</v>
      </c>
      <c r="I16" s="30">
        <f t="shared" si="7"/>
        <v>28588496.399999999</v>
      </c>
      <c r="J16" s="8">
        <v>674</v>
      </c>
      <c r="K16" s="7">
        <v>1045142</v>
      </c>
      <c r="L16" s="7">
        <v>567</v>
      </c>
      <c r="M16" s="7">
        <v>930447</v>
      </c>
      <c r="N16" s="30"/>
      <c r="O16" s="30"/>
      <c r="P16" s="30"/>
      <c r="Q16" s="30">
        <f>J16</f>
        <v>674</v>
      </c>
      <c r="R16" s="30">
        <f t="shared" si="0"/>
        <v>518461.53846150002</v>
      </c>
      <c r="S16" s="30">
        <f t="shared" si="1"/>
        <v>674000</v>
      </c>
      <c r="T16" s="30">
        <f t="shared" si="2"/>
        <v>596230.76923079998</v>
      </c>
      <c r="U16" s="30">
        <f>K16</f>
        <v>1045142</v>
      </c>
      <c r="V16" s="30">
        <v>32378.687539435647</v>
      </c>
      <c r="W16" s="30">
        <f t="shared" si="4"/>
        <v>33052.687539435647</v>
      </c>
      <c r="X16" s="30"/>
    </row>
    <row r="17" spans="1:24" x14ac:dyDescent="0.2">
      <c r="A17" s="6" t="s">
        <v>78</v>
      </c>
      <c r="B17" s="8">
        <v>5017300</v>
      </c>
      <c r="C17" s="8">
        <v>4388600</v>
      </c>
      <c r="D17" s="19">
        <v>11.5</v>
      </c>
      <c r="E17" s="19">
        <v>22.5</v>
      </c>
      <c r="F17" s="19">
        <v>66</v>
      </c>
      <c r="G17" s="30">
        <f t="shared" si="5"/>
        <v>504689</v>
      </c>
      <c r="H17" s="30">
        <f t="shared" si="6"/>
        <v>987435</v>
      </c>
      <c r="I17" s="30">
        <f t="shared" si="7"/>
        <v>2896476</v>
      </c>
      <c r="J17" s="8"/>
      <c r="K17" s="7"/>
      <c r="L17" s="7"/>
      <c r="M17" s="7"/>
      <c r="N17" s="30">
        <f t="shared" ref="N17:N18" si="12">ROUND(7.8*G17/100000,7)</f>
        <v>39.365741999999997</v>
      </c>
      <c r="O17" s="30">
        <f t="shared" ref="O17:O18" si="13">ROUND(3.8*H17/100000,7)</f>
        <v>37.522530000000003</v>
      </c>
      <c r="P17" s="30">
        <f t="shared" ref="P17:P18" si="14">ROUND(1.5*I17/100000,7)</f>
        <v>43.447139999999997</v>
      </c>
      <c r="Q17" s="30">
        <f t="shared" ref="Q17:Q18" si="15">ROUND(SUM(N17:P17),7)</f>
        <v>120.33541200000001</v>
      </c>
      <c r="R17" s="30">
        <f t="shared" si="0"/>
        <v>92565.701538499998</v>
      </c>
      <c r="S17" s="30">
        <f t="shared" si="1"/>
        <v>120335.412</v>
      </c>
      <c r="T17" s="30">
        <f t="shared" si="2"/>
        <v>106450.5567693</v>
      </c>
      <c r="U17" s="30">
        <f t="shared" ref="U17:U48" si="16">T17</f>
        <v>106450.5567693</v>
      </c>
      <c r="V17" s="30">
        <v>3897.3209716964175</v>
      </c>
      <c r="W17" s="30">
        <f t="shared" si="4"/>
        <v>4017.6563836964174</v>
      </c>
      <c r="X17" s="30"/>
    </row>
    <row r="18" spans="1:24" x14ac:dyDescent="0.2">
      <c r="A18" s="6" t="s">
        <v>79</v>
      </c>
      <c r="B18" s="8">
        <v>33670</v>
      </c>
      <c r="C18" s="7">
        <v>24800</v>
      </c>
      <c r="D18" s="19">
        <v>4</v>
      </c>
      <c r="E18" s="19">
        <v>29</v>
      </c>
      <c r="F18" s="19">
        <v>67</v>
      </c>
      <c r="G18" s="30">
        <f t="shared" si="5"/>
        <v>992</v>
      </c>
      <c r="H18" s="30">
        <f t="shared" si="6"/>
        <v>7192</v>
      </c>
      <c r="I18" s="30">
        <f t="shared" si="7"/>
        <v>16616</v>
      </c>
      <c r="J18" s="8"/>
      <c r="K18" s="7"/>
      <c r="L18" s="7"/>
      <c r="M18" s="7"/>
      <c r="N18" s="30">
        <f t="shared" si="12"/>
        <v>7.7376E-2</v>
      </c>
      <c r="O18" s="30">
        <f t="shared" si="13"/>
        <v>0.27329599999999998</v>
      </c>
      <c r="P18" s="30">
        <f t="shared" si="14"/>
        <v>0.24923999999999999</v>
      </c>
      <c r="Q18" s="30">
        <f t="shared" si="15"/>
        <v>0.599912</v>
      </c>
      <c r="R18" s="30">
        <f t="shared" si="0"/>
        <v>461.47076920000001</v>
      </c>
      <c r="S18" s="30">
        <f t="shared" si="1"/>
        <v>599.91200000000003</v>
      </c>
      <c r="T18" s="30">
        <f t="shared" si="2"/>
        <v>530.69138459999999</v>
      </c>
      <c r="U18" s="30">
        <f t="shared" si="16"/>
        <v>530.69138459999999</v>
      </c>
      <c r="V18" s="30">
        <v>26.154066353819463</v>
      </c>
      <c r="W18" s="30">
        <f t="shared" si="4"/>
        <v>26.753978353819463</v>
      </c>
      <c r="X18" s="30"/>
    </row>
    <row r="19" spans="1:24" x14ac:dyDescent="0.2">
      <c r="A19" s="6" t="s">
        <v>84</v>
      </c>
      <c r="B19" s="8">
        <v>31470</v>
      </c>
      <c r="C19" s="7"/>
      <c r="D19" s="136"/>
      <c r="E19" s="136"/>
      <c r="F19" s="136"/>
      <c r="G19" s="30"/>
      <c r="H19" s="30"/>
      <c r="I19" s="30"/>
      <c r="J19" s="8"/>
      <c r="K19" s="7"/>
      <c r="L19" s="7"/>
      <c r="M19" s="7"/>
      <c r="N19" s="30"/>
      <c r="O19" s="30"/>
      <c r="P19" s="30"/>
      <c r="Q19" s="30"/>
      <c r="R19" s="30"/>
      <c r="S19" s="30"/>
      <c r="T19" s="30"/>
      <c r="U19" s="30"/>
      <c r="V19" s="30">
        <v>24.445157949352495</v>
      </c>
      <c r="W19" s="30">
        <f t="shared" si="4"/>
        <v>24.445157949352495</v>
      </c>
      <c r="X19" s="30"/>
    </row>
    <row r="20" spans="1:24" x14ac:dyDescent="0.2">
      <c r="A20" s="6" t="s">
        <v>92</v>
      </c>
      <c r="B20" s="8">
        <v>179300</v>
      </c>
      <c r="C20" s="8">
        <v>165800</v>
      </c>
      <c r="D20" s="19">
        <v>4.8</v>
      </c>
      <c r="E20" s="19">
        <v>22.2</v>
      </c>
      <c r="F20" s="19">
        <v>73</v>
      </c>
      <c r="G20" s="30">
        <f t="shared" ref="G20:G25" si="17">ROUND(D20/100*C20,2)</f>
        <v>7958.4</v>
      </c>
      <c r="H20" s="30">
        <f t="shared" ref="H20:H25" si="18">ROUND(E20/100*C20,2)</f>
        <v>36807.599999999999</v>
      </c>
      <c r="I20" s="30">
        <f t="shared" ref="I20:I25" si="19">ROUND(F20/100*C20,2)</f>
        <v>121034</v>
      </c>
      <c r="J20" s="8"/>
      <c r="K20" s="7"/>
      <c r="L20" s="7"/>
      <c r="M20" s="7"/>
      <c r="N20" s="30">
        <f>ROUND(7.8*G20/100000,7)</f>
        <v>0.62075519999999995</v>
      </c>
      <c r="O20" s="30">
        <f>ROUND(3.8*H20/100000,7)</f>
        <v>1.3986888</v>
      </c>
      <c r="P20" s="30">
        <f>ROUND(1.5*I20/100000,7)</f>
        <v>1.81551</v>
      </c>
      <c r="Q20" s="30">
        <f>ROUND(SUM(N20:P20),7)</f>
        <v>3.8349540000000002</v>
      </c>
      <c r="R20" s="30">
        <f t="shared" ref="R20:R31" si="20">ROUND(Q20*100/0.13,7)</f>
        <v>2949.9646154000002</v>
      </c>
      <c r="S20" s="30">
        <f t="shared" ref="S20:S31" si="21">ROUND(Q20*100/0.1,7)</f>
        <v>3834.9540000000002</v>
      </c>
      <c r="T20" s="30">
        <f t="shared" ref="T20:T31" si="22">ROUND((R20+S20)/2,7)</f>
        <v>3392.4593077</v>
      </c>
      <c r="U20" s="30">
        <f t="shared" si="16"/>
        <v>3392.4593077</v>
      </c>
      <c r="V20" s="30">
        <v>139.27603496405789</v>
      </c>
      <c r="W20" s="30">
        <f t="shared" si="4"/>
        <v>143.1109889640579</v>
      </c>
      <c r="X20" s="30"/>
    </row>
    <row r="21" spans="1:24" x14ac:dyDescent="0.2">
      <c r="A21" s="6" t="s">
        <v>97</v>
      </c>
      <c r="B21" s="8">
        <v>2184900</v>
      </c>
      <c r="C21" s="8">
        <v>1882200</v>
      </c>
      <c r="D21" s="19">
        <v>5</v>
      </c>
      <c r="E21" s="19">
        <v>19</v>
      </c>
      <c r="F21" s="19">
        <v>76</v>
      </c>
      <c r="G21" s="30">
        <f t="shared" si="17"/>
        <v>94110</v>
      </c>
      <c r="H21" s="30">
        <f t="shared" si="18"/>
        <v>357618</v>
      </c>
      <c r="I21" s="30">
        <f t="shared" si="19"/>
        <v>1430472</v>
      </c>
      <c r="J21" s="8">
        <v>48</v>
      </c>
      <c r="K21" s="7">
        <v>40583.4</v>
      </c>
      <c r="L21" s="7">
        <v>42</v>
      </c>
      <c r="M21" s="7">
        <v>19294</v>
      </c>
      <c r="N21" s="30"/>
      <c r="O21" s="30"/>
      <c r="P21" s="30"/>
      <c r="Q21" s="30">
        <f>J21</f>
        <v>48</v>
      </c>
      <c r="R21" s="30">
        <f t="shared" si="20"/>
        <v>36923.076923100001</v>
      </c>
      <c r="S21" s="30">
        <f t="shared" si="21"/>
        <v>48000</v>
      </c>
      <c r="T21" s="30">
        <f t="shared" si="22"/>
        <v>42461.538461600001</v>
      </c>
      <c r="U21" s="30">
        <f t="shared" si="16"/>
        <v>42461.538461600001</v>
      </c>
      <c r="V21" s="30">
        <v>1697.1790785999449</v>
      </c>
      <c r="W21" s="30">
        <f t="shared" si="4"/>
        <v>1745.1790785999449</v>
      </c>
      <c r="X21" s="30"/>
    </row>
    <row r="22" spans="1:24" x14ac:dyDescent="0.2">
      <c r="A22" s="6" t="s">
        <v>98</v>
      </c>
      <c r="B22" s="9">
        <v>41800</v>
      </c>
      <c r="C22" s="9">
        <v>40800</v>
      </c>
      <c r="D22" s="19">
        <v>2</v>
      </c>
      <c r="E22" s="19">
        <v>14</v>
      </c>
      <c r="F22" s="19">
        <v>84</v>
      </c>
      <c r="G22" s="30">
        <f t="shared" si="17"/>
        <v>816</v>
      </c>
      <c r="H22" s="30">
        <f t="shared" si="18"/>
        <v>5712</v>
      </c>
      <c r="I22" s="30">
        <f t="shared" si="19"/>
        <v>34272</v>
      </c>
      <c r="J22" s="8"/>
      <c r="K22" s="7"/>
      <c r="L22" s="7"/>
      <c r="M22" s="7"/>
      <c r="N22" s="30">
        <f t="shared" ref="N22:N23" si="23">ROUND(7.8*G22/100000,7)</f>
        <v>6.3647999999999996E-2</v>
      </c>
      <c r="O22" s="30">
        <f t="shared" ref="O22:O23" si="24">ROUND(3.8*H22/100000,7)</f>
        <v>0.217056</v>
      </c>
      <c r="P22" s="30">
        <f t="shared" ref="P22:P23" si="25">ROUND(1.5*I22/100000,7)</f>
        <v>0.51407999999999998</v>
      </c>
      <c r="Q22" s="30">
        <f t="shared" ref="Q22:Q23" si="26">ROUND(SUM(N22:P22),7)</f>
        <v>0.79478400000000005</v>
      </c>
      <c r="R22" s="30">
        <f t="shared" si="20"/>
        <v>611.37230769999996</v>
      </c>
      <c r="S22" s="30">
        <f t="shared" si="21"/>
        <v>794.78399999999999</v>
      </c>
      <c r="T22" s="30">
        <f t="shared" si="22"/>
        <v>703.07815389999996</v>
      </c>
      <c r="U22" s="30">
        <f t="shared" si="16"/>
        <v>703.07815389999996</v>
      </c>
      <c r="V22" s="30">
        <v>32.469259684872391</v>
      </c>
      <c r="W22" s="30">
        <f t="shared" si="4"/>
        <v>33.264043684872391</v>
      </c>
      <c r="X22" s="30"/>
    </row>
    <row r="23" spans="1:24" x14ac:dyDescent="0.2">
      <c r="A23" s="6" t="s">
        <v>99</v>
      </c>
      <c r="B23" s="8">
        <v>3147100</v>
      </c>
      <c r="C23" s="9">
        <v>2938200</v>
      </c>
      <c r="D23" s="19">
        <v>1.6</v>
      </c>
      <c r="E23" s="19">
        <v>20.2</v>
      </c>
      <c r="F23" s="19">
        <v>78.2</v>
      </c>
      <c r="G23" s="30">
        <f t="shared" si="17"/>
        <v>47011.199999999997</v>
      </c>
      <c r="H23" s="30">
        <f t="shared" si="18"/>
        <v>593516.4</v>
      </c>
      <c r="I23" s="30">
        <f t="shared" si="19"/>
        <v>2297672.4</v>
      </c>
      <c r="J23" s="8">
        <v>52</v>
      </c>
      <c r="K23" s="141">
        <v>62519</v>
      </c>
      <c r="L23" s="141"/>
      <c r="M23" s="141"/>
      <c r="N23" s="30">
        <f t="shared" si="23"/>
        <v>3.6668736000000002</v>
      </c>
      <c r="O23" s="30">
        <f t="shared" si="24"/>
        <v>22.553623200000001</v>
      </c>
      <c r="P23" s="30">
        <f t="shared" si="25"/>
        <v>34.465085999999999</v>
      </c>
      <c r="Q23" s="30">
        <f t="shared" si="26"/>
        <v>60.685582799999999</v>
      </c>
      <c r="R23" s="30">
        <f t="shared" si="20"/>
        <v>46681.217538500001</v>
      </c>
      <c r="S23" s="30">
        <f t="shared" si="21"/>
        <v>60685.582799999996</v>
      </c>
      <c r="T23" s="30">
        <f t="shared" si="22"/>
        <v>53683.400169300003</v>
      </c>
      <c r="U23" s="30">
        <f t="shared" si="16"/>
        <v>53683.400169300003</v>
      </c>
      <c r="V23" s="30">
        <v>2444.5934725899979</v>
      </c>
      <c r="W23" s="30">
        <f t="shared" si="4"/>
        <v>2505.2790553899977</v>
      </c>
      <c r="X23" s="30"/>
    </row>
    <row r="24" spans="1:24" x14ac:dyDescent="0.2">
      <c r="A24" s="6" t="s">
        <v>100</v>
      </c>
      <c r="B24" s="8">
        <v>24974700</v>
      </c>
      <c r="C24" s="9">
        <v>22872300</v>
      </c>
      <c r="D24" s="19">
        <v>3.9</v>
      </c>
      <c r="E24" s="19">
        <v>28.3</v>
      </c>
      <c r="F24" s="19">
        <v>67.8</v>
      </c>
      <c r="G24" s="30">
        <f t="shared" si="17"/>
        <v>892019.7</v>
      </c>
      <c r="H24" s="30">
        <f t="shared" si="18"/>
        <v>6472860.9000000004</v>
      </c>
      <c r="I24" s="30">
        <f t="shared" si="19"/>
        <v>15507419.4</v>
      </c>
      <c r="J24" s="8"/>
      <c r="K24" s="7"/>
      <c r="L24" s="7">
        <v>718</v>
      </c>
      <c r="M24" s="7">
        <v>437821</v>
      </c>
      <c r="N24" s="30"/>
      <c r="O24" s="30"/>
      <c r="P24" s="30"/>
      <c r="Q24" s="30">
        <f>L24</f>
        <v>718</v>
      </c>
      <c r="R24" s="30">
        <f t="shared" si="20"/>
        <v>552307.69230770005</v>
      </c>
      <c r="S24" s="30">
        <f t="shared" si="21"/>
        <v>718000</v>
      </c>
      <c r="T24" s="30">
        <f t="shared" si="22"/>
        <v>635153.84615390003</v>
      </c>
      <c r="U24" s="30">
        <f t="shared" si="16"/>
        <v>635153.84615390003</v>
      </c>
      <c r="V24" s="30">
        <v>19399.761240473268</v>
      </c>
      <c r="W24" s="30">
        <f t="shared" si="4"/>
        <v>20117.761240473268</v>
      </c>
      <c r="X24" s="30"/>
    </row>
    <row r="25" spans="1:24" x14ac:dyDescent="0.2">
      <c r="A25" s="6" t="s">
        <v>102</v>
      </c>
      <c r="B25" s="8">
        <v>65900000</v>
      </c>
      <c r="C25" s="9">
        <v>62570000</v>
      </c>
      <c r="D25" s="19">
        <v>3.9</v>
      </c>
      <c r="E25" s="19">
        <v>26.2</v>
      </c>
      <c r="F25" s="19">
        <v>69.8</v>
      </c>
      <c r="G25" s="30">
        <f t="shared" si="17"/>
        <v>2440230</v>
      </c>
      <c r="H25" s="30">
        <f t="shared" si="18"/>
        <v>16393340</v>
      </c>
      <c r="I25" s="30">
        <f t="shared" si="19"/>
        <v>43673860</v>
      </c>
      <c r="J25" s="8"/>
      <c r="K25" s="7"/>
      <c r="L25" s="7"/>
      <c r="M25" s="7"/>
      <c r="N25" s="30">
        <f t="shared" ref="N25:N29" si="27">ROUND(7.8*G25/100000,7)</f>
        <v>190.33794</v>
      </c>
      <c r="O25" s="30">
        <f t="shared" ref="O25:O29" si="28">ROUND(3.8*H25/100000,7)</f>
        <v>622.94691999999998</v>
      </c>
      <c r="P25" s="30">
        <f t="shared" ref="P25:P29" si="29">ROUND(1.5*I25/100000,7)</f>
        <v>655.10789999999997</v>
      </c>
      <c r="Q25" s="30">
        <f t="shared" ref="Q25:Q29" si="30">ROUND(SUM(N25:P25),7)</f>
        <v>1468.39276</v>
      </c>
      <c r="R25" s="30">
        <f t="shared" si="20"/>
        <v>1129532.8923076999</v>
      </c>
      <c r="S25" s="30">
        <f t="shared" si="21"/>
        <v>1468392.76</v>
      </c>
      <c r="T25" s="30">
        <f t="shared" si="22"/>
        <v>1298962.8261539</v>
      </c>
      <c r="U25" s="30">
        <f t="shared" si="16"/>
        <v>1298962.8261539</v>
      </c>
      <c r="V25" s="30">
        <v>51189.57447926054</v>
      </c>
      <c r="W25" s="30">
        <f t="shared" si="4"/>
        <v>52657.967239260543</v>
      </c>
      <c r="X25" s="30"/>
    </row>
    <row r="26" spans="1:24" x14ac:dyDescent="0.2">
      <c r="A26" s="6" t="s">
        <v>103</v>
      </c>
      <c r="B26" s="8">
        <v>53380</v>
      </c>
      <c r="C26" s="10"/>
      <c r="D26" s="26">
        <v>2.8</v>
      </c>
      <c r="E26" s="26">
        <v>13.3</v>
      </c>
      <c r="F26" s="26">
        <v>83.9</v>
      </c>
      <c r="G26" s="30">
        <f>ROUND(D26/100*B26,2)</f>
        <v>1494.64</v>
      </c>
      <c r="H26" s="30">
        <f>ROUND(E26/100*B26,2)</f>
        <v>7099.54</v>
      </c>
      <c r="I26" s="30">
        <f>ROUND(F26/100*B26,2)</f>
        <v>44785.82</v>
      </c>
      <c r="J26" s="8"/>
      <c r="K26" s="7"/>
      <c r="L26" s="7"/>
      <c r="M26" s="7"/>
      <c r="N26" s="30">
        <f t="shared" si="27"/>
        <v>0.1165819</v>
      </c>
      <c r="O26" s="30">
        <f t="shared" si="28"/>
        <v>0.26978249999999998</v>
      </c>
      <c r="P26" s="30">
        <f t="shared" si="29"/>
        <v>0.67178729999999998</v>
      </c>
      <c r="Q26" s="30">
        <f t="shared" si="30"/>
        <v>1.0581517</v>
      </c>
      <c r="R26" s="30">
        <f t="shared" si="20"/>
        <v>813.96284619999994</v>
      </c>
      <c r="S26" s="30">
        <f t="shared" si="21"/>
        <v>1058.1516999999999</v>
      </c>
      <c r="T26" s="30">
        <f t="shared" si="22"/>
        <v>936.05727309999997</v>
      </c>
      <c r="U26" s="30">
        <f t="shared" si="16"/>
        <v>936.05727309999997</v>
      </c>
      <c r="V26" s="30">
        <v>41.464332104748529</v>
      </c>
      <c r="W26" s="30">
        <f t="shared" si="4"/>
        <v>42.522483804748532</v>
      </c>
      <c r="X26" s="30"/>
    </row>
    <row r="27" spans="1:24" x14ac:dyDescent="0.2">
      <c r="A27" s="6" t="s">
        <v>109</v>
      </c>
      <c r="B27" s="8">
        <v>24748400</v>
      </c>
      <c r="C27" s="9">
        <v>23828800</v>
      </c>
      <c r="D27" s="19">
        <v>6.2</v>
      </c>
      <c r="E27" s="19">
        <v>23.8</v>
      </c>
      <c r="F27" s="19">
        <v>70</v>
      </c>
      <c r="G27" s="30">
        <f>ROUND(D27/100*C27,2)</f>
        <v>1477385.6</v>
      </c>
      <c r="H27" s="30">
        <f>ROUND(E27/100*C27,2)</f>
        <v>5671254.4000000004</v>
      </c>
      <c r="I27" s="30">
        <f>ROUND(F27/100*C27,2)</f>
        <v>16680160</v>
      </c>
      <c r="J27" s="8">
        <v>1255</v>
      </c>
      <c r="K27" s="7"/>
      <c r="L27" s="7"/>
      <c r="M27" s="7"/>
      <c r="N27" s="30">
        <f t="shared" si="27"/>
        <v>115.23607680000001</v>
      </c>
      <c r="O27" s="30">
        <f t="shared" si="28"/>
        <v>215.50766719999999</v>
      </c>
      <c r="P27" s="30">
        <f t="shared" si="29"/>
        <v>250.20240000000001</v>
      </c>
      <c r="Q27" s="30">
        <f t="shared" si="30"/>
        <v>580.946144</v>
      </c>
      <c r="R27" s="30">
        <f t="shared" si="20"/>
        <v>446881.64923079999</v>
      </c>
      <c r="S27" s="30">
        <f t="shared" si="21"/>
        <v>580946.14399999997</v>
      </c>
      <c r="T27" s="30">
        <f t="shared" si="22"/>
        <v>513913.89661539998</v>
      </c>
      <c r="U27" s="30">
        <f t="shared" si="16"/>
        <v>513913.89661539998</v>
      </c>
      <c r="V27" s="30">
        <v>19223.976707777416</v>
      </c>
      <c r="W27" s="30">
        <f t="shared" si="4"/>
        <v>19804.922851777417</v>
      </c>
      <c r="X27" s="30"/>
    </row>
    <row r="28" spans="1:24" x14ac:dyDescent="0.2">
      <c r="A28" s="6" t="s">
        <v>110</v>
      </c>
      <c r="B28" s="7">
        <v>1514779</v>
      </c>
      <c r="C28" s="7"/>
      <c r="D28" s="21">
        <v>2.7</v>
      </c>
      <c r="E28" s="21">
        <v>20.7</v>
      </c>
      <c r="F28" s="21">
        <v>76.599999999999994</v>
      </c>
      <c r="G28" s="30">
        <f>ROUND(D28/100*B28,2)</f>
        <v>40899.03</v>
      </c>
      <c r="H28" s="30">
        <f>ROUND(E28/100*B28,2)</f>
        <v>313559.25</v>
      </c>
      <c r="I28" s="30">
        <f>ROUND(F28/100*B28,2)</f>
        <v>1160320.71</v>
      </c>
      <c r="J28" s="8"/>
      <c r="K28" s="7"/>
      <c r="L28" s="7"/>
      <c r="M28" s="7"/>
      <c r="N28" s="30">
        <f t="shared" si="27"/>
        <v>3.1901242999999999</v>
      </c>
      <c r="O28" s="30">
        <f t="shared" si="28"/>
        <v>11.9152515</v>
      </c>
      <c r="P28" s="30">
        <f t="shared" si="29"/>
        <v>17.404810699999999</v>
      </c>
      <c r="Q28" s="30">
        <f t="shared" si="30"/>
        <v>32.510186500000003</v>
      </c>
      <c r="R28" s="30">
        <f t="shared" si="20"/>
        <v>25007.835769199999</v>
      </c>
      <c r="S28" s="30">
        <f t="shared" si="21"/>
        <v>32510.1865</v>
      </c>
      <c r="T28" s="30">
        <f t="shared" si="22"/>
        <v>28759.011134600001</v>
      </c>
      <c r="U28" s="30">
        <f t="shared" si="16"/>
        <v>28759.011134600001</v>
      </c>
      <c r="V28" s="30">
        <v>1176.6448018227588</v>
      </c>
      <c r="W28" s="30">
        <f t="shared" si="4"/>
        <v>1209.1549883227588</v>
      </c>
      <c r="X28" s="30"/>
    </row>
    <row r="29" spans="1:24" x14ac:dyDescent="0.2">
      <c r="A29" s="6" t="s">
        <v>118</v>
      </c>
      <c r="B29" s="8">
        <v>35250</v>
      </c>
      <c r="C29" s="7">
        <v>18100</v>
      </c>
      <c r="D29" s="19">
        <v>0.8</v>
      </c>
      <c r="E29" s="19">
        <v>39.4</v>
      </c>
      <c r="F29" s="19">
        <v>59.9</v>
      </c>
      <c r="G29" s="30">
        <f t="shared" ref="G29:G31" si="31">ROUND(D29/100*C29,2)</f>
        <v>144.80000000000001</v>
      </c>
      <c r="H29" s="30">
        <f t="shared" ref="H29:H31" si="32">ROUND(E29/100*C29,2)</f>
        <v>7131.4</v>
      </c>
      <c r="I29" s="30">
        <f t="shared" ref="I29:I31" si="33">ROUND(F29/100*C29,2)</f>
        <v>10841.9</v>
      </c>
      <c r="J29" s="8"/>
      <c r="K29" s="7"/>
      <c r="L29" s="7"/>
      <c r="M29" s="7"/>
      <c r="N29" s="30">
        <f t="shared" si="27"/>
        <v>1.12944E-2</v>
      </c>
      <c r="O29" s="30">
        <f t="shared" si="28"/>
        <v>0.27099319999999999</v>
      </c>
      <c r="P29" s="30">
        <f t="shared" si="29"/>
        <v>0.16262850000000001</v>
      </c>
      <c r="Q29" s="30">
        <f t="shared" si="30"/>
        <v>0.44491609999999998</v>
      </c>
      <c r="R29" s="30">
        <f t="shared" si="20"/>
        <v>342.24315380000002</v>
      </c>
      <c r="S29" s="30">
        <f t="shared" si="21"/>
        <v>444.91609999999997</v>
      </c>
      <c r="T29" s="30">
        <f t="shared" si="22"/>
        <v>393.57962689999999</v>
      </c>
      <c r="U29" s="30">
        <f t="shared" si="16"/>
        <v>393.57962689999999</v>
      </c>
      <c r="V29" s="30">
        <v>27.381373298845737</v>
      </c>
      <c r="W29" s="30">
        <f t="shared" si="4"/>
        <v>27.826289398845738</v>
      </c>
      <c r="X29" s="30"/>
    </row>
    <row r="30" spans="1:24" x14ac:dyDescent="0.2">
      <c r="A30" s="6" t="s">
        <v>120</v>
      </c>
      <c r="B30" s="8">
        <v>230900</v>
      </c>
      <c r="C30" s="8">
        <v>220800</v>
      </c>
      <c r="D30" s="19">
        <v>1.4</v>
      </c>
      <c r="E30" s="19">
        <v>21.8</v>
      </c>
      <c r="F30" s="19">
        <v>76.7</v>
      </c>
      <c r="G30" s="30">
        <f t="shared" si="31"/>
        <v>3091.2</v>
      </c>
      <c r="H30" s="30">
        <f t="shared" si="32"/>
        <v>48134.400000000001</v>
      </c>
      <c r="I30" s="30">
        <f t="shared" si="33"/>
        <v>169353.60000000001</v>
      </c>
      <c r="J30" s="8"/>
      <c r="K30" s="7"/>
      <c r="L30" s="7">
        <v>15</v>
      </c>
      <c r="M30" s="7">
        <v>6983</v>
      </c>
      <c r="N30" s="30"/>
      <c r="O30" s="30"/>
      <c r="P30" s="30"/>
      <c r="Q30" s="30">
        <f>L30</f>
        <v>15</v>
      </c>
      <c r="R30" s="30">
        <f t="shared" si="20"/>
        <v>11538.4615385</v>
      </c>
      <c r="S30" s="30">
        <f t="shared" si="21"/>
        <v>15000</v>
      </c>
      <c r="T30" s="30">
        <f t="shared" si="22"/>
        <v>13269.2307693</v>
      </c>
      <c r="U30" s="30">
        <f t="shared" si="16"/>
        <v>13269.2307693</v>
      </c>
      <c r="V30" s="30">
        <v>179.35770481428315</v>
      </c>
      <c r="W30" s="30">
        <f t="shared" si="4"/>
        <v>194.35770481428315</v>
      </c>
      <c r="X30" s="30"/>
    </row>
    <row r="31" spans="1:24" x14ac:dyDescent="0.2">
      <c r="A31" s="6" t="s">
        <v>128</v>
      </c>
      <c r="B31" s="8">
        <v>176600</v>
      </c>
      <c r="C31" s="9">
        <v>164400</v>
      </c>
      <c r="D31" s="19">
        <v>1.5</v>
      </c>
      <c r="E31" s="19">
        <v>24.7</v>
      </c>
      <c r="F31" s="19">
        <v>73.900000000000006</v>
      </c>
      <c r="G31" s="30">
        <f t="shared" si="31"/>
        <v>2466</v>
      </c>
      <c r="H31" s="30">
        <f t="shared" si="32"/>
        <v>40606.800000000003</v>
      </c>
      <c r="I31" s="30">
        <f t="shared" si="33"/>
        <v>121491.6</v>
      </c>
      <c r="J31" s="8">
        <v>3</v>
      </c>
      <c r="K31" s="7">
        <v>3314</v>
      </c>
      <c r="L31" s="7"/>
      <c r="M31" s="7">
        <v>2751</v>
      </c>
      <c r="N31" s="30"/>
      <c r="O31" s="30"/>
      <c r="P31" s="30"/>
      <c r="Q31" s="30">
        <f>J31</f>
        <v>3</v>
      </c>
      <c r="R31" s="30">
        <f t="shared" si="20"/>
        <v>2307.6923077000001</v>
      </c>
      <c r="S31" s="30">
        <f t="shared" si="21"/>
        <v>3000</v>
      </c>
      <c r="T31" s="30">
        <f t="shared" si="22"/>
        <v>2653.8461539</v>
      </c>
      <c r="U31" s="30">
        <f>K31</f>
        <v>3314</v>
      </c>
      <c r="V31" s="30">
        <v>137.17873828584845</v>
      </c>
      <c r="W31" s="30">
        <f t="shared" si="4"/>
        <v>140.17873828584845</v>
      </c>
      <c r="X31" s="30"/>
    </row>
    <row r="32" spans="1:24" x14ac:dyDescent="0.2">
      <c r="A32" s="6" t="s">
        <v>137</v>
      </c>
      <c r="B32" s="8">
        <v>50580</v>
      </c>
      <c r="C32" s="7"/>
      <c r="D32" s="136"/>
      <c r="E32" s="136"/>
      <c r="F32" s="136"/>
      <c r="G32" s="30"/>
      <c r="H32" s="30"/>
      <c r="I32" s="30"/>
      <c r="J32" s="8"/>
      <c r="K32" s="7"/>
      <c r="L32" s="7"/>
      <c r="M32" s="7"/>
      <c r="N32" s="30"/>
      <c r="O32" s="30"/>
      <c r="P32" s="30"/>
      <c r="Q32" s="30"/>
      <c r="R32" s="30"/>
      <c r="S32" s="30"/>
      <c r="T32" s="30"/>
      <c r="U32" s="30"/>
      <c r="V32" s="30">
        <v>39.28935777179057</v>
      </c>
      <c r="W32" s="30">
        <f t="shared" si="4"/>
        <v>39.28935777179057</v>
      </c>
      <c r="X32" s="30"/>
    </row>
    <row r="33" spans="1:24" x14ac:dyDescent="0.2">
      <c r="A33" s="6" t="s">
        <v>147</v>
      </c>
      <c r="B33" s="8">
        <v>8760000</v>
      </c>
      <c r="C33" s="8">
        <v>8370200</v>
      </c>
      <c r="D33" s="19">
        <v>2.9</v>
      </c>
      <c r="E33" s="19">
        <v>19.2</v>
      </c>
      <c r="F33" s="19">
        <v>77.900000000000006</v>
      </c>
      <c r="G33" s="30">
        <f t="shared" ref="G33:G38" si="34">ROUND(D33/100*C33,2)</f>
        <v>242735.8</v>
      </c>
      <c r="H33" s="30">
        <f t="shared" ref="H33:H38" si="35">ROUND(E33/100*C33,2)</f>
        <v>1607078.4</v>
      </c>
      <c r="I33" s="30">
        <f t="shared" ref="I33:I38" si="36">ROUND(F33/100*C33,2)</f>
        <v>6520385.7999999998</v>
      </c>
      <c r="J33" s="8"/>
      <c r="K33" s="7"/>
      <c r="L33" s="7">
        <v>79</v>
      </c>
      <c r="M33" s="7">
        <v>183005</v>
      </c>
      <c r="N33" s="30"/>
      <c r="O33" s="30"/>
      <c r="P33" s="30"/>
      <c r="Q33" s="30">
        <f>L33</f>
        <v>79</v>
      </c>
      <c r="R33" s="30">
        <f t="shared" ref="R33:R48" si="37">ROUND(Q33*100/0.13,7)</f>
        <v>60769.230769200003</v>
      </c>
      <c r="S33" s="30">
        <f t="shared" ref="S33:S48" si="38">ROUND(Q33*100/0.1,7)</f>
        <v>79000</v>
      </c>
      <c r="T33" s="30">
        <f t="shared" ref="T33:T48" si="39">ROUND((R33+S33)/2,7)</f>
        <v>69884.615384599994</v>
      </c>
      <c r="U33" s="30">
        <f>M33</f>
        <v>183005</v>
      </c>
      <c r="V33" s="30">
        <v>6804.562555968474</v>
      </c>
      <c r="W33" s="30">
        <f t="shared" si="4"/>
        <v>6883.562555968474</v>
      </c>
      <c r="X33" s="30"/>
    </row>
    <row r="34" spans="1:24" x14ac:dyDescent="0.2">
      <c r="A34" s="6" t="s">
        <v>150</v>
      </c>
      <c r="B34" s="8">
        <v>2332500</v>
      </c>
      <c r="C34" s="9">
        <v>2180300</v>
      </c>
      <c r="D34" s="19">
        <v>7</v>
      </c>
      <c r="E34" s="19">
        <v>21.7</v>
      </c>
      <c r="F34" s="19">
        <v>71.3</v>
      </c>
      <c r="G34" s="30">
        <f t="shared" si="34"/>
        <v>152621</v>
      </c>
      <c r="H34" s="30">
        <f t="shared" si="35"/>
        <v>473125.1</v>
      </c>
      <c r="I34" s="30">
        <f t="shared" si="36"/>
        <v>1554553.9</v>
      </c>
      <c r="J34" s="8">
        <v>118</v>
      </c>
      <c r="K34" s="7">
        <v>20229</v>
      </c>
      <c r="L34" s="7"/>
      <c r="M34" s="7"/>
      <c r="N34" s="30"/>
      <c r="O34" s="30"/>
      <c r="P34" s="30"/>
      <c r="Q34" s="30">
        <f>J34</f>
        <v>118</v>
      </c>
      <c r="R34" s="30">
        <f t="shared" si="37"/>
        <v>90769.230769200003</v>
      </c>
      <c r="S34" s="30">
        <f t="shared" si="38"/>
        <v>118000</v>
      </c>
      <c r="T34" s="30">
        <f t="shared" si="39"/>
        <v>104384.61538459999</v>
      </c>
      <c r="U34" s="30">
        <f t="shared" si="16"/>
        <v>104384.61538459999</v>
      </c>
      <c r="V34" s="30">
        <v>1811.8312970087288</v>
      </c>
      <c r="W34" s="30">
        <f t="shared" si="4"/>
        <v>1929.8312970087288</v>
      </c>
      <c r="X34" s="30"/>
    </row>
    <row r="35" spans="1:24" x14ac:dyDescent="0.2">
      <c r="A35" s="6" t="s">
        <v>157</v>
      </c>
      <c r="B35" s="8">
        <v>2592000</v>
      </c>
      <c r="C35" s="9">
        <v>2500800</v>
      </c>
      <c r="D35" s="19">
        <v>2.9</v>
      </c>
      <c r="E35" s="19">
        <v>21.1</v>
      </c>
      <c r="F35" s="19">
        <v>76</v>
      </c>
      <c r="G35" s="30">
        <f t="shared" si="34"/>
        <v>72523.199999999997</v>
      </c>
      <c r="H35" s="30">
        <f t="shared" si="35"/>
        <v>527668.80000000005</v>
      </c>
      <c r="I35" s="30">
        <f t="shared" si="36"/>
        <v>1900608</v>
      </c>
      <c r="J35" s="8">
        <v>46</v>
      </c>
      <c r="K35" s="150">
        <v>15370</v>
      </c>
      <c r="L35" s="137">
        <v>46</v>
      </c>
      <c r="M35" s="150">
        <v>38660</v>
      </c>
      <c r="N35" s="30"/>
      <c r="O35" s="30"/>
      <c r="P35" s="30"/>
      <c r="Q35" s="30">
        <f>J35</f>
        <v>46</v>
      </c>
      <c r="R35" s="30">
        <f t="shared" si="37"/>
        <v>35384.615384600002</v>
      </c>
      <c r="S35" s="30">
        <f t="shared" si="38"/>
        <v>46000</v>
      </c>
      <c r="T35" s="30">
        <f t="shared" si="39"/>
        <v>40692.307692299997</v>
      </c>
      <c r="U35" s="30">
        <f t="shared" si="16"/>
        <v>40692.307692299997</v>
      </c>
      <c r="V35" s="30">
        <v>2013.4048110810825</v>
      </c>
      <c r="W35" s="30">
        <f t="shared" si="4"/>
        <v>2059.4048110810827</v>
      </c>
      <c r="X35" s="30"/>
    </row>
    <row r="36" spans="1:24" x14ac:dyDescent="0.2">
      <c r="A36" s="6" t="s">
        <v>167</v>
      </c>
      <c r="B36" s="8">
        <v>5580700</v>
      </c>
      <c r="C36" s="9">
        <v>4978200</v>
      </c>
      <c r="D36" s="19">
        <v>11.7</v>
      </c>
      <c r="E36" s="19">
        <v>28.5</v>
      </c>
      <c r="F36" s="19">
        <v>59.8</v>
      </c>
      <c r="G36" s="30">
        <f t="shared" si="34"/>
        <v>582449.4</v>
      </c>
      <c r="H36" s="30">
        <f t="shared" si="35"/>
        <v>1418787</v>
      </c>
      <c r="I36" s="30">
        <f t="shared" si="36"/>
        <v>2976963.6</v>
      </c>
      <c r="J36" s="8"/>
      <c r="K36" s="7"/>
      <c r="L36" s="7">
        <v>204</v>
      </c>
      <c r="M36" s="7">
        <v>130271</v>
      </c>
      <c r="N36" s="30"/>
      <c r="O36" s="30"/>
      <c r="P36" s="30"/>
      <c r="Q36" s="30">
        <f>L36</f>
        <v>204</v>
      </c>
      <c r="R36" s="30">
        <f t="shared" si="37"/>
        <v>156923.07692309999</v>
      </c>
      <c r="S36" s="30">
        <f t="shared" si="38"/>
        <v>204000</v>
      </c>
      <c r="T36" s="30">
        <f t="shared" si="39"/>
        <v>180461.53846159999</v>
      </c>
      <c r="U36" s="30">
        <f t="shared" si="16"/>
        <v>180461.53846159999</v>
      </c>
      <c r="V36" s="30">
        <v>4334.9568785494585</v>
      </c>
      <c r="W36" s="30">
        <f t="shared" si="4"/>
        <v>4538.9568785494585</v>
      </c>
      <c r="X36" s="30"/>
    </row>
    <row r="37" spans="1:24" x14ac:dyDescent="0.2">
      <c r="A37" s="6" t="s">
        <v>169</v>
      </c>
      <c r="B37" s="8">
        <v>1276000</v>
      </c>
      <c r="C37" s="9">
        <v>1270200</v>
      </c>
      <c r="D37" s="21">
        <v>2.4</v>
      </c>
      <c r="E37" s="21">
        <v>51.9</v>
      </c>
      <c r="F37" s="21">
        <v>45.8</v>
      </c>
      <c r="G37" s="30">
        <f t="shared" si="34"/>
        <v>30484.799999999999</v>
      </c>
      <c r="H37" s="30">
        <f t="shared" si="35"/>
        <v>659233.80000000005</v>
      </c>
      <c r="I37" s="30">
        <f t="shared" si="36"/>
        <v>581751.6</v>
      </c>
      <c r="J37" s="8"/>
      <c r="K37" s="7"/>
      <c r="L37" s="7"/>
      <c r="M37" s="7"/>
      <c r="N37" s="30">
        <f t="shared" ref="N37:N39" si="40">ROUND(7.8*G37/100000,7)</f>
        <v>2.3778144000000001</v>
      </c>
      <c r="O37" s="30">
        <f t="shared" ref="O37:O39" si="41">ROUND(3.8*H37/100000,7)</f>
        <v>25.050884400000001</v>
      </c>
      <c r="P37" s="30">
        <f t="shared" ref="P37:P39" si="42">ROUND(1.5*I37/100000,7)</f>
        <v>8.7262740000000001</v>
      </c>
      <c r="Q37" s="30">
        <f t="shared" ref="Q37:Q39" si="43">ROUND(SUM(N37:P37),7)</f>
        <v>36.154972800000003</v>
      </c>
      <c r="R37" s="30">
        <f t="shared" si="37"/>
        <v>27811.5175385</v>
      </c>
      <c r="S37" s="30">
        <f t="shared" si="38"/>
        <v>36154.972800000003</v>
      </c>
      <c r="T37" s="30">
        <f t="shared" si="39"/>
        <v>31983.2451693</v>
      </c>
      <c r="U37" s="30">
        <f t="shared" si="16"/>
        <v>31983.2451693</v>
      </c>
      <c r="V37" s="30">
        <v>991.16687459084142</v>
      </c>
      <c r="W37" s="30">
        <f t="shared" si="4"/>
        <v>1027.3218473908414</v>
      </c>
      <c r="X37" s="30"/>
    </row>
    <row r="38" spans="1:24" x14ac:dyDescent="0.2">
      <c r="A38" s="6" t="s">
        <v>180</v>
      </c>
      <c r="B38" s="8">
        <v>22400</v>
      </c>
      <c r="C38" s="10">
        <v>21400</v>
      </c>
      <c r="D38" s="19">
        <v>0.1</v>
      </c>
      <c r="E38" s="19">
        <v>34.4</v>
      </c>
      <c r="F38" s="19">
        <v>65.5</v>
      </c>
      <c r="G38" s="30">
        <f t="shared" si="34"/>
        <v>21.4</v>
      </c>
      <c r="H38" s="30">
        <f t="shared" si="35"/>
        <v>7361.6</v>
      </c>
      <c r="I38" s="30">
        <f t="shared" si="36"/>
        <v>14017</v>
      </c>
      <c r="J38" s="8"/>
      <c r="K38" s="7"/>
      <c r="L38" s="7"/>
      <c r="M38" s="7"/>
      <c r="N38" s="30">
        <f t="shared" si="40"/>
        <v>1.6692E-3</v>
      </c>
      <c r="O38" s="30">
        <f t="shared" si="41"/>
        <v>0.27974080000000001</v>
      </c>
      <c r="P38" s="30">
        <f t="shared" si="42"/>
        <v>0.210255</v>
      </c>
      <c r="Q38" s="30">
        <f t="shared" si="43"/>
        <v>0.49166500000000002</v>
      </c>
      <c r="R38" s="30">
        <f t="shared" si="37"/>
        <v>378.20384619999999</v>
      </c>
      <c r="S38" s="30">
        <f t="shared" si="38"/>
        <v>491.66500000000002</v>
      </c>
      <c r="T38" s="30">
        <f t="shared" si="39"/>
        <v>434.9344231</v>
      </c>
      <c r="U38" s="30">
        <f t="shared" si="16"/>
        <v>434.9344231</v>
      </c>
      <c r="V38" s="30">
        <v>17.399794663663677</v>
      </c>
      <c r="W38" s="30">
        <f t="shared" si="4"/>
        <v>17.891459663663678</v>
      </c>
      <c r="X38" s="30"/>
    </row>
    <row r="39" spans="1:24" x14ac:dyDescent="0.2">
      <c r="A39" s="6" t="s">
        <v>182</v>
      </c>
      <c r="B39" s="8">
        <v>7337000</v>
      </c>
      <c r="C39" s="9"/>
      <c r="D39" s="19">
        <v>4.0999999999999996</v>
      </c>
      <c r="E39" s="19">
        <v>20.399999999999999</v>
      </c>
      <c r="F39" s="19">
        <v>75.5</v>
      </c>
      <c r="G39" s="30">
        <f>ROUND(D39/100*B39,2)</f>
        <v>300817</v>
      </c>
      <c r="H39" s="30">
        <f>ROUND(E39/100*B39,2)</f>
        <v>1496748</v>
      </c>
      <c r="I39" s="30">
        <f>ROUND(F39/100*B39,2)</f>
        <v>5539435</v>
      </c>
      <c r="J39" s="8"/>
      <c r="K39" s="7"/>
      <c r="L39" s="7"/>
      <c r="M39" s="7"/>
      <c r="N39" s="30">
        <f t="shared" si="40"/>
        <v>23.463726000000001</v>
      </c>
      <c r="O39" s="30">
        <f t="shared" si="41"/>
        <v>56.876424</v>
      </c>
      <c r="P39" s="30">
        <f t="shared" si="42"/>
        <v>83.091525000000004</v>
      </c>
      <c r="Q39" s="30">
        <f t="shared" si="43"/>
        <v>163.43167500000001</v>
      </c>
      <c r="R39" s="30">
        <f t="shared" si="37"/>
        <v>125716.6730769</v>
      </c>
      <c r="S39" s="30">
        <f t="shared" si="38"/>
        <v>163431.67499999999</v>
      </c>
      <c r="T39" s="30">
        <f t="shared" si="39"/>
        <v>144574.1740385</v>
      </c>
      <c r="U39" s="30">
        <f t="shared" si="16"/>
        <v>144574.1740385</v>
      </c>
      <c r="V39" s="30">
        <v>5699.2095288973387</v>
      </c>
      <c r="W39" s="30">
        <f t="shared" si="4"/>
        <v>5862.6412038973385</v>
      </c>
      <c r="X39" s="30"/>
    </row>
    <row r="40" spans="1:24" x14ac:dyDescent="0.2">
      <c r="A40" s="6" t="s">
        <v>187</v>
      </c>
      <c r="B40" s="8">
        <v>3090000</v>
      </c>
      <c r="C40" s="9">
        <v>1852000</v>
      </c>
      <c r="D40" s="19">
        <v>0.1</v>
      </c>
      <c r="E40" s="19">
        <v>19.600000000000001</v>
      </c>
      <c r="F40" s="19">
        <v>80.3</v>
      </c>
      <c r="G40" s="30">
        <f t="shared" ref="G40:G47" si="44">ROUND(D40/100*C40,2)</f>
        <v>1852</v>
      </c>
      <c r="H40" s="30">
        <f t="shared" ref="H40:H47" si="45">ROUND(E40/100*C40,2)</f>
        <v>362992</v>
      </c>
      <c r="I40" s="30">
        <f t="shared" ref="I40:I47" si="46">ROUND(F40/100*C40,2)</f>
        <v>1487156</v>
      </c>
      <c r="J40" s="8">
        <v>55</v>
      </c>
      <c r="K40" s="150">
        <v>10264</v>
      </c>
      <c r="L40" s="137"/>
      <c r="M40" s="137"/>
      <c r="N40" s="30"/>
      <c r="O40" s="30"/>
      <c r="P40" s="30"/>
      <c r="Q40" s="30">
        <f>J40</f>
        <v>55</v>
      </c>
      <c r="R40" s="30">
        <f t="shared" si="37"/>
        <v>42307.692307700003</v>
      </c>
      <c r="S40" s="30">
        <f t="shared" si="38"/>
        <v>55000</v>
      </c>
      <c r="T40" s="30">
        <f t="shared" si="39"/>
        <v>48653.846153899998</v>
      </c>
      <c r="U40" s="30">
        <f t="shared" si="16"/>
        <v>48653.846153899998</v>
      </c>
      <c r="V40" s="30">
        <v>2400.2395317286055</v>
      </c>
      <c r="W40" s="30">
        <f t="shared" si="4"/>
        <v>2455.2395317286055</v>
      </c>
      <c r="X40" s="30"/>
    </row>
    <row r="41" spans="1:24" x14ac:dyDescent="0.2">
      <c r="A41" s="6" t="s">
        <v>189</v>
      </c>
      <c r="B41" s="8">
        <v>1041400</v>
      </c>
      <c r="C41" s="9">
        <v>966000</v>
      </c>
      <c r="D41" s="19">
        <v>2.2000000000000002</v>
      </c>
      <c r="E41" s="19">
        <v>35</v>
      </c>
      <c r="F41" s="19">
        <v>62.8</v>
      </c>
      <c r="G41" s="30">
        <f t="shared" si="44"/>
        <v>21252</v>
      </c>
      <c r="H41" s="30">
        <f t="shared" si="45"/>
        <v>338100</v>
      </c>
      <c r="I41" s="30">
        <f t="shared" si="46"/>
        <v>606648</v>
      </c>
      <c r="J41" s="8"/>
      <c r="K41" s="7"/>
      <c r="L41" s="7">
        <v>24</v>
      </c>
      <c r="M41" s="7">
        <v>16367</v>
      </c>
      <c r="N41" s="30"/>
      <c r="O41" s="30"/>
      <c r="P41" s="30"/>
      <c r="Q41" s="30">
        <f>L41</f>
        <v>24</v>
      </c>
      <c r="R41" s="30">
        <f t="shared" si="37"/>
        <v>18461.5384615</v>
      </c>
      <c r="S41" s="30">
        <f t="shared" si="38"/>
        <v>24000</v>
      </c>
      <c r="T41" s="30">
        <f t="shared" si="39"/>
        <v>21230.769230800001</v>
      </c>
      <c r="U41" s="30">
        <f t="shared" si="16"/>
        <v>21230.769230800001</v>
      </c>
      <c r="V41" s="30">
        <v>808.93509655086393</v>
      </c>
      <c r="W41" s="30">
        <f t="shared" si="4"/>
        <v>832.93509655086393</v>
      </c>
      <c r="X41" s="30"/>
    </row>
    <row r="42" spans="1:24" x14ac:dyDescent="0.2">
      <c r="A42" s="6" t="s">
        <v>193</v>
      </c>
      <c r="B42" s="8">
        <v>23088900</v>
      </c>
      <c r="C42" s="9">
        <v>18456500</v>
      </c>
      <c r="D42" s="19">
        <v>4.2</v>
      </c>
      <c r="E42" s="19">
        <v>24</v>
      </c>
      <c r="F42" s="19">
        <v>71.7</v>
      </c>
      <c r="G42" s="30">
        <f t="shared" si="44"/>
        <v>775173</v>
      </c>
      <c r="H42" s="30">
        <f t="shared" si="45"/>
        <v>4429560</v>
      </c>
      <c r="I42" s="30">
        <f t="shared" si="46"/>
        <v>13233310.5</v>
      </c>
      <c r="J42" s="8">
        <v>342</v>
      </c>
      <c r="K42" s="7">
        <v>568080</v>
      </c>
      <c r="L42" s="7">
        <v>338</v>
      </c>
      <c r="M42" s="7">
        <v>493789</v>
      </c>
      <c r="N42" s="30"/>
      <c r="O42" s="30"/>
      <c r="P42" s="30"/>
      <c r="Q42" s="30">
        <f>J42</f>
        <v>342</v>
      </c>
      <c r="R42" s="30">
        <f t="shared" si="37"/>
        <v>263076.92307690001</v>
      </c>
      <c r="S42" s="30">
        <f t="shared" si="38"/>
        <v>342000</v>
      </c>
      <c r="T42" s="30">
        <f t="shared" si="39"/>
        <v>302538.46153849998</v>
      </c>
      <c r="U42" s="30">
        <f>K42</f>
        <v>568080</v>
      </c>
      <c r="V42" s="30">
        <v>17934.916027226081</v>
      </c>
      <c r="W42" s="30">
        <f t="shared" si="4"/>
        <v>18276.916027226081</v>
      </c>
      <c r="X42" s="30"/>
    </row>
    <row r="43" spans="1:24" x14ac:dyDescent="0.2">
      <c r="A43" s="6" t="s">
        <v>198</v>
      </c>
      <c r="B43" s="8">
        <v>4949900</v>
      </c>
      <c r="C43" s="9">
        <v>4523700</v>
      </c>
      <c r="D43" s="19">
        <v>1.1000000000000001</v>
      </c>
      <c r="E43" s="19">
        <v>28.2</v>
      </c>
      <c r="F43" s="19">
        <v>70.7</v>
      </c>
      <c r="G43" s="30">
        <f t="shared" si="44"/>
        <v>49760.7</v>
      </c>
      <c r="H43" s="30">
        <f t="shared" si="45"/>
        <v>1275683.3999999999</v>
      </c>
      <c r="I43" s="30">
        <f t="shared" si="46"/>
        <v>3198255.9</v>
      </c>
      <c r="J43" s="8">
        <v>54</v>
      </c>
      <c r="K43" s="150">
        <v>28311</v>
      </c>
      <c r="L43" s="137">
        <v>54</v>
      </c>
      <c r="M43" s="150">
        <v>34201</v>
      </c>
      <c r="N43" s="30"/>
      <c r="O43" s="30"/>
      <c r="P43" s="30"/>
      <c r="Q43" s="30">
        <f>L43</f>
        <v>54</v>
      </c>
      <c r="R43" s="30">
        <f t="shared" si="37"/>
        <v>41538.4615385</v>
      </c>
      <c r="S43" s="30">
        <f t="shared" si="38"/>
        <v>54000</v>
      </c>
      <c r="T43" s="30">
        <f t="shared" si="39"/>
        <v>47769.230769299997</v>
      </c>
      <c r="U43" s="30">
        <f t="shared" si="16"/>
        <v>47769.230769299997</v>
      </c>
      <c r="V43" s="30">
        <v>3844.9662323959301</v>
      </c>
      <c r="W43" s="30">
        <f t="shared" si="4"/>
        <v>3898.9662323959301</v>
      </c>
      <c r="X43" s="30"/>
    </row>
    <row r="44" spans="1:24" x14ac:dyDescent="0.2">
      <c r="A44" s="6" t="s">
        <v>199</v>
      </c>
      <c r="B44" s="8">
        <v>4484300</v>
      </c>
      <c r="C44" s="10">
        <v>4280500</v>
      </c>
      <c r="D44" s="19">
        <v>3.4</v>
      </c>
      <c r="E44" s="19">
        <v>23.4</v>
      </c>
      <c r="F44" s="19">
        <v>73.2</v>
      </c>
      <c r="G44" s="30">
        <f t="shared" si="44"/>
        <v>145537</v>
      </c>
      <c r="H44" s="30">
        <f t="shared" si="45"/>
        <v>1001637</v>
      </c>
      <c r="I44" s="30">
        <f t="shared" si="46"/>
        <v>3133326</v>
      </c>
      <c r="J44" s="8"/>
      <c r="K44" s="7"/>
      <c r="L44" s="7">
        <v>91</v>
      </c>
      <c r="M44" s="7">
        <v>79191</v>
      </c>
      <c r="N44" s="30"/>
      <c r="O44" s="30"/>
      <c r="P44" s="30"/>
      <c r="Q44" s="30">
        <f>L44</f>
        <v>91</v>
      </c>
      <c r="R44" s="30">
        <f t="shared" si="37"/>
        <v>70000</v>
      </c>
      <c r="S44" s="30">
        <f t="shared" si="38"/>
        <v>91000</v>
      </c>
      <c r="T44" s="30">
        <f t="shared" si="39"/>
        <v>80500</v>
      </c>
      <c r="U44" s="30">
        <f t="shared" si="16"/>
        <v>80500</v>
      </c>
      <c r="V44" s="30">
        <v>3483.299071886921</v>
      </c>
      <c r="W44" s="30">
        <f t="shared" si="4"/>
        <v>3574.299071886921</v>
      </c>
      <c r="X44" s="30"/>
    </row>
    <row r="45" spans="1:24" x14ac:dyDescent="0.2">
      <c r="A45" s="6" t="s">
        <v>217</v>
      </c>
      <c r="B45" s="8">
        <v>3908000</v>
      </c>
      <c r="C45" s="7">
        <v>1846200</v>
      </c>
      <c r="D45" s="19">
        <v>4.3</v>
      </c>
      <c r="E45" s="19">
        <v>24.4</v>
      </c>
      <c r="F45" s="19">
        <v>71.3</v>
      </c>
      <c r="G45" s="30">
        <f t="shared" si="44"/>
        <v>79386.600000000006</v>
      </c>
      <c r="H45" s="30">
        <f t="shared" si="45"/>
        <v>450472.8</v>
      </c>
      <c r="I45" s="30">
        <f t="shared" si="46"/>
        <v>1316340.6000000001</v>
      </c>
      <c r="J45" s="8"/>
      <c r="K45" s="7"/>
      <c r="L45" s="7"/>
      <c r="M45" s="7"/>
      <c r="N45" s="30">
        <f>ROUND(7.8*G45/100000,7)</f>
        <v>6.1921548</v>
      </c>
      <c r="O45" s="30">
        <f>ROUND(3.8*H45/100000,7)</f>
        <v>17.1179664</v>
      </c>
      <c r="P45" s="30">
        <f>ROUND(1.5*I45/100000,7)</f>
        <v>19.745108999999999</v>
      </c>
      <c r="Q45" s="30">
        <f>ROUND(SUM(N45:P45),7)</f>
        <v>43.055230199999997</v>
      </c>
      <c r="R45" s="30">
        <f t="shared" si="37"/>
        <v>33119.407846200003</v>
      </c>
      <c r="S45" s="30">
        <f t="shared" si="38"/>
        <v>43055.230199999998</v>
      </c>
      <c r="T45" s="30">
        <f t="shared" si="39"/>
        <v>38087.319023099997</v>
      </c>
      <c r="U45" s="30">
        <f t="shared" si="16"/>
        <v>38087.319023099997</v>
      </c>
      <c r="V45" s="30">
        <v>3035.6427475713231</v>
      </c>
      <c r="W45" s="30">
        <f t="shared" si="4"/>
        <v>3078.6979777713232</v>
      </c>
      <c r="X45" s="30"/>
    </row>
    <row r="46" spans="1:24" x14ac:dyDescent="0.2">
      <c r="A46" s="6" t="s">
        <v>218</v>
      </c>
      <c r="B46" s="8">
        <v>31381800</v>
      </c>
      <c r="C46" s="8">
        <v>28941500</v>
      </c>
      <c r="D46" s="19">
        <v>1.5</v>
      </c>
      <c r="E46" s="19">
        <v>21.3</v>
      </c>
      <c r="F46" s="19">
        <v>77.2</v>
      </c>
      <c r="G46" s="30">
        <f t="shared" si="44"/>
        <v>434122.5</v>
      </c>
      <c r="H46" s="30">
        <f t="shared" si="45"/>
        <v>6164539.5</v>
      </c>
      <c r="I46" s="30">
        <f t="shared" si="46"/>
        <v>22342838</v>
      </c>
      <c r="J46" s="30"/>
      <c r="K46" s="7"/>
      <c r="L46" s="7">
        <v>172</v>
      </c>
      <c r="M46" s="7">
        <v>252597</v>
      </c>
      <c r="N46" s="30"/>
      <c r="O46" s="30"/>
      <c r="P46" s="30"/>
      <c r="Q46" s="30">
        <f>L46</f>
        <v>172</v>
      </c>
      <c r="R46" s="30">
        <f t="shared" si="37"/>
        <v>132307.6923077</v>
      </c>
      <c r="S46" s="30">
        <f t="shared" si="38"/>
        <v>172000</v>
      </c>
      <c r="T46" s="30">
        <f t="shared" si="39"/>
        <v>152153.8461539</v>
      </c>
      <c r="U46" s="30">
        <f>M46</f>
        <v>252597</v>
      </c>
      <c r="V46" s="30">
        <v>24376.646257864315</v>
      </c>
      <c r="W46" s="30">
        <f t="shared" si="4"/>
        <v>24548.646257864315</v>
      </c>
      <c r="X46" s="30"/>
    </row>
    <row r="47" spans="1:24" x14ac:dyDescent="0.2">
      <c r="A47" s="6" t="s">
        <v>219</v>
      </c>
      <c r="B47" s="8">
        <v>153889000</v>
      </c>
      <c r="C47" s="9">
        <v>139064000</v>
      </c>
      <c r="D47" s="21">
        <v>0.7</v>
      </c>
      <c r="E47" s="21">
        <v>20.3</v>
      </c>
      <c r="F47" s="21">
        <v>79.099999999999994</v>
      </c>
      <c r="G47" s="30">
        <f t="shared" si="44"/>
        <v>973448</v>
      </c>
      <c r="H47" s="30">
        <f t="shared" si="45"/>
        <v>28229992</v>
      </c>
      <c r="I47" s="30">
        <f t="shared" si="46"/>
        <v>109999624</v>
      </c>
      <c r="J47" s="30"/>
      <c r="K47" s="150">
        <v>1191100</v>
      </c>
      <c r="L47" s="137"/>
      <c r="M47" s="137"/>
      <c r="N47" s="30"/>
      <c r="O47" s="30"/>
      <c r="P47" s="30"/>
      <c r="Q47" s="30">
        <v>4690</v>
      </c>
      <c r="R47" s="30">
        <f t="shared" si="37"/>
        <v>3607692.3076923001</v>
      </c>
      <c r="S47" s="30">
        <f t="shared" si="38"/>
        <v>4690000</v>
      </c>
      <c r="T47" s="30">
        <f t="shared" si="39"/>
        <v>4148846.1538462001</v>
      </c>
      <c r="U47" s="30">
        <f t="shared" si="16"/>
        <v>4148846.1538462001</v>
      </c>
      <c r="V47" s="30">
        <v>119537.36611591694</v>
      </c>
      <c r="W47" s="30">
        <f t="shared" si="4"/>
        <v>124227.36611591694</v>
      </c>
      <c r="X47" s="30"/>
    </row>
    <row r="48" spans="1:24" x14ac:dyDescent="0.2">
      <c r="A48" s="12" t="s">
        <v>225</v>
      </c>
      <c r="B48" s="7">
        <v>52682</v>
      </c>
      <c r="C48" s="7"/>
      <c r="D48" s="19">
        <v>1</v>
      </c>
      <c r="E48" s="19">
        <v>19</v>
      </c>
      <c r="F48" s="19">
        <v>80</v>
      </c>
      <c r="G48" s="30">
        <f>ROUND(D48/100*B48,2)</f>
        <v>526.82000000000005</v>
      </c>
      <c r="H48" s="30">
        <f>ROUND(E48/100*B48,2)</f>
        <v>10009.58</v>
      </c>
      <c r="I48" s="30">
        <f>ROUND(F48/100*B48,2)</f>
        <v>42145.599999999999</v>
      </c>
      <c r="J48" s="30"/>
      <c r="K48" s="30"/>
      <c r="L48" s="30"/>
      <c r="M48" s="30"/>
      <c r="N48" s="30">
        <f>ROUND(7.8*G48/100000,7)</f>
        <v>4.1091999999999997E-2</v>
      </c>
      <c r="O48" s="30">
        <f>ROUND(3.8*H48/100000,7)</f>
        <v>0.38036399999999998</v>
      </c>
      <c r="P48" s="30">
        <f>ROUND(1.5*I48/100000,7)</f>
        <v>0.63218399999999997</v>
      </c>
      <c r="Q48" s="30">
        <f t="shared" ref="Q48" si="47">SUM(N48:P48)</f>
        <v>1.0536399999999999</v>
      </c>
      <c r="R48" s="30">
        <f t="shared" si="37"/>
        <v>810.49230769999997</v>
      </c>
      <c r="S48" s="30">
        <f t="shared" si="38"/>
        <v>1053.6400000000001</v>
      </c>
      <c r="T48" s="30">
        <f t="shared" si="39"/>
        <v>932.06615390000002</v>
      </c>
      <c r="U48" s="30">
        <f t="shared" si="16"/>
        <v>932.06615390000002</v>
      </c>
      <c r="V48" s="30">
        <v>40.922142074604011</v>
      </c>
      <c r="W48" s="30">
        <f t="shared" si="4"/>
        <v>41.975782074604012</v>
      </c>
      <c r="X48" s="30"/>
    </row>
    <row r="49" spans="1:24" s="32" customFormat="1" x14ac:dyDescent="0.2">
      <c r="A49" s="32" t="s">
        <v>231</v>
      </c>
      <c r="B49" s="33">
        <f>SUM(B4:B48)</f>
        <v>498833289</v>
      </c>
      <c r="C49" s="33">
        <f>SUM(C4:C48)</f>
        <v>446194700</v>
      </c>
      <c r="G49" s="33">
        <f>ROUND(SUM(G4:G48),2)</f>
        <v>12056370.189999999</v>
      </c>
      <c r="H49" s="33">
        <f>ROUND(SUM(H4:H48),2)</f>
        <v>104711990.77</v>
      </c>
      <c r="I49" s="33">
        <f>ROUND(SUM(I4:I48),2)</f>
        <v>338472997.52999997</v>
      </c>
      <c r="J49" s="33">
        <f>SUM(J5:J48)</f>
        <v>4092</v>
      </c>
      <c r="K49" s="33">
        <f>SUM(K5:K48)</f>
        <v>4120618.4</v>
      </c>
      <c r="L49" s="33"/>
      <c r="M49" s="33"/>
      <c r="N49" s="33"/>
      <c r="O49" s="33"/>
      <c r="P49" s="33"/>
      <c r="Q49" s="33">
        <f>ROUND(SUM(Q4:Q48),7)</f>
        <v>11396.1609377</v>
      </c>
      <c r="R49" s="33">
        <f>ROUND(SUM(R4:R48),7)</f>
        <v>8766277.6443847008</v>
      </c>
      <c r="S49" s="33">
        <f>ROUND(SUM(S4:S48),7)</f>
        <v>11396160.9377</v>
      </c>
      <c r="T49" s="33">
        <f>ROUND(SUM(T4:T48),7)</f>
        <v>10081219.291043701</v>
      </c>
      <c r="U49" s="33">
        <f>ROUND(SUM(U4:U48),7)</f>
        <v>11222580.598735699</v>
      </c>
      <c r="V49" s="31">
        <v>387482</v>
      </c>
      <c r="W49" s="33">
        <f t="shared" si="4"/>
        <v>398878.16093770001</v>
      </c>
      <c r="X49" s="33"/>
    </row>
    <row r="50" spans="1:24" x14ac:dyDescent="0.2">
      <c r="T50" s="30"/>
    </row>
    <row r="52" spans="1:24" x14ac:dyDescent="0.2">
      <c r="A52" s="182" t="s">
        <v>390</v>
      </c>
      <c r="B52" s="182"/>
      <c r="C52" s="182"/>
      <c r="D52" s="182"/>
      <c r="E52" s="182"/>
      <c r="F52" s="182"/>
      <c r="G52" s="182"/>
      <c r="H52" s="182"/>
      <c r="I52" s="182"/>
      <c r="J52" s="182"/>
      <c r="K52" s="182"/>
      <c r="L52" s="182"/>
      <c r="M52" s="182"/>
      <c r="N52" s="182"/>
      <c r="O52" s="182"/>
      <c r="P52" s="182"/>
      <c r="Q52" s="139"/>
      <c r="R52" s="139"/>
      <c r="S52" s="139"/>
      <c r="T52" s="139"/>
      <c r="U52" s="139"/>
    </row>
    <row r="53" spans="1:24" x14ac:dyDescent="0.2">
      <c r="A53" s="182" t="s">
        <v>391</v>
      </c>
      <c r="B53" s="182"/>
      <c r="C53" s="182"/>
      <c r="D53" s="182"/>
      <c r="E53" s="182"/>
      <c r="F53" s="182"/>
      <c r="G53" s="182"/>
      <c r="H53" s="182"/>
      <c r="I53" s="182"/>
      <c r="J53" s="182"/>
      <c r="K53" s="182"/>
      <c r="L53" s="182"/>
      <c r="M53" s="182"/>
      <c r="N53" s="182"/>
      <c r="O53" s="182"/>
      <c r="P53" s="182"/>
      <c r="Q53" s="139"/>
      <c r="R53" s="139"/>
      <c r="S53" s="139"/>
      <c r="T53" s="139"/>
      <c r="U53" s="139"/>
    </row>
    <row r="54" spans="1:24" ht="12" customHeight="1" x14ac:dyDescent="0.2">
      <c r="A54" s="183" t="s">
        <v>392</v>
      </c>
      <c r="B54" s="183"/>
      <c r="C54" s="183"/>
      <c r="D54" s="183"/>
      <c r="E54" s="183"/>
      <c r="F54" s="183"/>
      <c r="G54" s="183"/>
      <c r="H54" s="183"/>
      <c r="I54" s="183"/>
      <c r="J54" s="183"/>
      <c r="K54" s="183"/>
      <c r="L54" s="183"/>
      <c r="M54" s="183"/>
      <c r="N54" s="183"/>
      <c r="O54" s="183"/>
      <c r="P54" s="183"/>
      <c r="Q54" s="164"/>
      <c r="R54" s="164"/>
      <c r="S54" s="164"/>
      <c r="T54" s="164"/>
      <c r="U54" s="164"/>
    </row>
    <row r="55" spans="1:24" x14ac:dyDescent="0.2">
      <c r="A55" s="183"/>
      <c r="B55" s="183"/>
      <c r="C55" s="183"/>
      <c r="D55" s="183"/>
      <c r="E55" s="183"/>
      <c r="F55" s="183"/>
      <c r="G55" s="183"/>
      <c r="H55" s="183"/>
      <c r="I55" s="183"/>
      <c r="J55" s="183"/>
      <c r="K55" s="183"/>
      <c r="L55" s="183"/>
      <c r="M55" s="183"/>
      <c r="N55" s="183"/>
      <c r="O55" s="183"/>
      <c r="P55" s="183"/>
      <c r="Q55" s="164"/>
      <c r="R55" s="164"/>
      <c r="S55" s="164"/>
      <c r="T55" s="164"/>
      <c r="U55" s="164"/>
    </row>
    <row r="56" spans="1:24" x14ac:dyDescent="0.2">
      <c r="A56" s="183"/>
      <c r="B56" s="183"/>
      <c r="C56" s="183"/>
      <c r="D56" s="183"/>
      <c r="E56" s="183"/>
      <c r="F56" s="183"/>
      <c r="G56" s="183"/>
      <c r="H56" s="183"/>
      <c r="I56" s="183"/>
      <c r="J56" s="183"/>
      <c r="K56" s="183"/>
      <c r="L56" s="183"/>
      <c r="M56" s="183"/>
      <c r="N56" s="183"/>
      <c r="O56" s="183"/>
      <c r="P56" s="183"/>
    </row>
  </sheetData>
  <mergeCells count="11">
    <mergeCell ref="A52:P52"/>
    <mergeCell ref="A53:P53"/>
    <mergeCell ref="A54:P56"/>
    <mergeCell ref="R2:T2"/>
    <mergeCell ref="J1:K2"/>
    <mergeCell ref="D2:F2"/>
    <mergeCell ref="N2:Q2"/>
    <mergeCell ref="G1:I2"/>
    <mergeCell ref="L1:M2"/>
    <mergeCell ref="N1:U1"/>
    <mergeCell ref="U2:U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8"/>
  <sheetViews>
    <sheetView workbookViewId="0">
      <pane xSplit="1" ySplit="3" topLeftCell="B4" activePane="bottomRight" state="frozen"/>
      <selection pane="topRight" activeCell="B1" sqref="B1"/>
      <selection pane="bottomLeft" activeCell="A4" sqref="A4"/>
      <selection pane="bottomRight" activeCell="A3" sqref="A3"/>
    </sheetView>
  </sheetViews>
  <sheetFormatPr defaultRowHeight="12" x14ac:dyDescent="0.2"/>
  <cols>
    <col min="1" max="1" width="32.85546875" style="1" bestFit="1" customWidth="1"/>
    <col min="2" max="2" width="9.7109375" style="1" bestFit="1" customWidth="1"/>
    <col min="3" max="3" width="10" style="1" bestFit="1" customWidth="1"/>
    <col min="4" max="4" width="8.7109375" style="20" bestFit="1" customWidth="1"/>
    <col min="5" max="5" width="6.7109375" style="20" bestFit="1" customWidth="1"/>
    <col min="6" max="6" width="6.140625" style="20" bestFit="1" customWidth="1"/>
    <col min="7" max="7" width="9.5703125" style="1" bestFit="1" customWidth="1"/>
    <col min="8" max="8" width="8.7109375" style="1" bestFit="1" customWidth="1"/>
    <col min="9" max="9" width="9.5703125" style="1" bestFit="1" customWidth="1"/>
    <col min="10" max="11" width="9.140625" style="1"/>
    <col min="12" max="12" width="8.7109375" style="1" bestFit="1" customWidth="1"/>
    <col min="13" max="13" width="6.7109375" style="1" bestFit="1" customWidth="1"/>
    <col min="14" max="14" width="6.140625" style="1" bestFit="1" customWidth="1"/>
    <col min="15" max="15" width="6.5703125" style="1" bestFit="1" customWidth="1"/>
    <col min="16" max="16" width="10" style="20" customWidth="1"/>
    <col min="17" max="17" width="9.5703125" style="20" bestFit="1" customWidth="1"/>
    <col min="18" max="18" width="9.140625" style="20"/>
    <col min="19" max="19" width="12.7109375" style="1" customWidth="1"/>
    <col min="20" max="16384" width="9.140625" style="1"/>
  </cols>
  <sheetData>
    <row r="1" spans="1:20" ht="15" customHeight="1" x14ac:dyDescent="0.2">
      <c r="A1" s="2" t="s">
        <v>402</v>
      </c>
      <c r="B1" s="3"/>
      <c r="G1" s="187" t="s">
        <v>369</v>
      </c>
      <c r="H1" s="187"/>
      <c r="I1" s="187"/>
      <c r="J1" s="180" t="s">
        <v>241</v>
      </c>
      <c r="K1" s="180"/>
      <c r="L1" s="190" t="s">
        <v>388</v>
      </c>
      <c r="M1" s="190"/>
      <c r="N1" s="190"/>
      <c r="O1" s="190"/>
      <c r="P1" s="190"/>
      <c r="Q1" s="190"/>
      <c r="R1" s="190"/>
    </row>
    <row r="2" spans="1:20" ht="12" customHeight="1" x14ac:dyDescent="0.2">
      <c r="A2" s="2"/>
      <c r="B2" s="3"/>
      <c r="D2" s="185" t="s">
        <v>236</v>
      </c>
      <c r="E2" s="185"/>
      <c r="F2" s="185"/>
      <c r="G2" s="187"/>
      <c r="H2" s="187"/>
      <c r="I2" s="187"/>
      <c r="J2" s="180"/>
      <c r="K2" s="180"/>
      <c r="L2" s="191" t="s">
        <v>387</v>
      </c>
      <c r="M2" s="191"/>
      <c r="N2" s="191"/>
      <c r="O2" s="191"/>
      <c r="P2" s="184" t="s">
        <v>395</v>
      </c>
      <c r="Q2" s="184"/>
      <c r="R2" s="184"/>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4</v>
      </c>
      <c r="B4" s="8">
        <v>10811500</v>
      </c>
      <c r="C4" s="9">
        <v>9735500</v>
      </c>
      <c r="D4" s="21">
        <v>21.3</v>
      </c>
      <c r="E4" s="21">
        <v>26.8</v>
      </c>
      <c r="F4" s="21">
        <v>51.9</v>
      </c>
      <c r="G4" s="30">
        <f>ROUND(D4/100*C4,2)</f>
        <v>2073661.5</v>
      </c>
      <c r="H4" s="30">
        <f>ROUND(E4/100*C4,2)</f>
        <v>2609114</v>
      </c>
      <c r="I4" s="30">
        <f>ROUND(F4/100*C4,2)</f>
        <v>5052724.5</v>
      </c>
      <c r="J4" s="11"/>
      <c r="K4" s="38"/>
      <c r="L4" s="16">
        <f>ROUND(18.9*G4/100000,7)</f>
        <v>391.92202350000002</v>
      </c>
      <c r="M4" s="16">
        <f>ROUND(21.1*H4/100000,7)</f>
        <v>550.523054</v>
      </c>
      <c r="N4" s="16">
        <f>ROUND(17.7*I4/100000,7)</f>
        <v>894.33223650000002</v>
      </c>
      <c r="O4" s="16">
        <f>ROUND(SUM(L4:N4),7)</f>
        <v>1836.7773139999999</v>
      </c>
      <c r="P4" s="30">
        <f>ROUND(O4*100/0.13,7)</f>
        <v>1412905.6261539001</v>
      </c>
      <c r="Q4" s="30">
        <f>ROUND(O4*100/0.1,7)</f>
        <v>1836777.314</v>
      </c>
      <c r="R4" s="30">
        <f>ROUND((P4+Q4)/2,7)</f>
        <v>1624841.4700770001</v>
      </c>
      <c r="S4" s="16">
        <v>5912.1176525048832</v>
      </c>
      <c r="T4" s="16">
        <f>SUM(O4+S4)</f>
        <v>7748.8949665048831</v>
      </c>
    </row>
    <row r="5" spans="1:20" x14ac:dyDescent="0.2">
      <c r="A5" s="6" t="s">
        <v>7</v>
      </c>
      <c r="B5" s="8">
        <v>7977000</v>
      </c>
      <c r="C5" s="7"/>
      <c r="D5" s="22">
        <v>85</v>
      </c>
      <c r="E5" s="23">
        <v>7.5</v>
      </c>
      <c r="F5" s="23">
        <v>7.5</v>
      </c>
      <c r="G5" s="30">
        <f>ROUND(D5/100*B5,2)</f>
        <v>6780450</v>
      </c>
      <c r="H5" s="30">
        <f>ROUND(E5/100*B5,2)</f>
        <v>598275</v>
      </c>
      <c r="I5" s="30">
        <f>ROUND(F5/100*B5,2)</f>
        <v>598275</v>
      </c>
      <c r="J5" s="11"/>
      <c r="K5" s="38"/>
      <c r="L5" s="16">
        <f t="shared" ref="L5:L33" si="0">ROUND(18.9*G5/100000,7)</f>
        <v>1281.50505</v>
      </c>
      <c r="M5" s="16">
        <f t="shared" ref="M5:M33" si="1">ROUND(21.1*H5/100000,7)</f>
        <v>126.236025</v>
      </c>
      <c r="N5" s="16">
        <f t="shared" ref="N5:N33" si="2">ROUND(17.7*I5/100000,7)</f>
        <v>105.89467500000001</v>
      </c>
      <c r="O5" s="16">
        <f t="shared" ref="O5:O52" si="3">ROUND(SUM(L5:N5),7)</f>
        <v>1513.6357499999999</v>
      </c>
      <c r="P5" s="30">
        <f t="shared" ref="P5:P33" si="4">ROUND(O5*100/0.13,7)</f>
        <v>1164335.1923076999</v>
      </c>
      <c r="Q5" s="30">
        <f t="shared" ref="Q5:Q33" si="5">ROUND(O5*100/0.1,7)</f>
        <v>1513635.75</v>
      </c>
      <c r="R5" s="30">
        <f t="shared" ref="R5:R33" si="6">ROUND((P5+Q5)/2,7)</f>
        <v>1338985.4711539</v>
      </c>
      <c r="S5" s="16">
        <v>4362.1109479749757</v>
      </c>
      <c r="T5" s="16">
        <f t="shared" ref="T5:T53" si="7">SUM(O5+S5)</f>
        <v>5875.7466979749752</v>
      </c>
    </row>
    <row r="6" spans="1:20" x14ac:dyDescent="0.2">
      <c r="A6" s="6" t="s">
        <v>23</v>
      </c>
      <c r="B6" s="8">
        <v>2225200</v>
      </c>
      <c r="C6" s="7">
        <v>2202000</v>
      </c>
      <c r="D6" s="22">
        <v>70</v>
      </c>
      <c r="E6" s="23">
        <v>7</v>
      </c>
      <c r="F6" s="23">
        <v>23</v>
      </c>
      <c r="G6" s="30">
        <f t="shared" ref="G6:G7" si="8">ROUND(D6/100*C6,2)</f>
        <v>1541400</v>
      </c>
      <c r="H6" s="30">
        <f t="shared" ref="H6:H7" si="9">ROUND(E6/100*C6,2)</f>
        <v>154140</v>
      </c>
      <c r="I6" s="30">
        <f t="shared" ref="I6:I7" si="10">ROUND(F6/100*C6,2)</f>
        <v>506460</v>
      </c>
      <c r="J6" s="11"/>
      <c r="K6" s="38"/>
      <c r="L6" s="16">
        <f t="shared" si="0"/>
        <v>291.32459999999998</v>
      </c>
      <c r="M6" s="16">
        <f t="shared" si="1"/>
        <v>32.523539999999997</v>
      </c>
      <c r="N6" s="16">
        <f t="shared" si="2"/>
        <v>89.643420000000006</v>
      </c>
      <c r="O6" s="16">
        <f t="shared" si="3"/>
        <v>413.49155999999999</v>
      </c>
      <c r="P6" s="30">
        <f t="shared" si="4"/>
        <v>318070.43076919997</v>
      </c>
      <c r="Q6" s="30">
        <f t="shared" si="5"/>
        <v>413491.56</v>
      </c>
      <c r="R6" s="30">
        <f t="shared" si="6"/>
        <v>365780.99538460001</v>
      </c>
      <c r="S6" s="16">
        <v>1216.8195162885693</v>
      </c>
      <c r="T6" s="16">
        <f t="shared" si="7"/>
        <v>1630.3110762885692</v>
      </c>
    </row>
    <row r="7" spans="1:20" x14ac:dyDescent="0.2">
      <c r="A7" s="6" t="s">
        <v>28</v>
      </c>
      <c r="B7" s="8">
        <v>710600</v>
      </c>
      <c r="C7" s="9">
        <v>584300</v>
      </c>
      <c r="D7" s="21">
        <v>29.9</v>
      </c>
      <c r="E7" s="21">
        <v>15.2</v>
      </c>
      <c r="F7" s="21">
        <v>54.9</v>
      </c>
      <c r="G7" s="30">
        <f t="shared" si="8"/>
        <v>174705.7</v>
      </c>
      <c r="H7" s="30">
        <f t="shared" si="9"/>
        <v>88813.6</v>
      </c>
      <c r="I7" s="30">
        <f t="shared" si="10"/>
        <v>320780.7</v>
      </c>
      <c r="J7" s="11">
        <v>25</v>
      </c>
      <c r="K7" s="38"/>
      <c r="L7" s="16">
        <f t="shared" si="0"/>
        <v>33.019377300000002</v>
      </c>
      <c r="M7" s="16">
        <f t="shared" si="1"/>
        <v>18.739669599999999</v>
      </c>
      <c r="N7" s="16">
        <f t="shared" si="2"/>
        <v>56.778183900000002</v>
      </c>
      <c r="O7" s="16">
        <f t="shared" si="3"/>
        <v>108.5372308</v>
      </c>
      <c r="P7" s="30">
        <f t="shared" si="4"/>
        <v>83490.177538499993</v>
      </c>
      <c r="Q7" s="30">
        <f t="shared" si="5"/>
        <v>108537.2308</v>
      </c>
      <c r="R7" s="30">
        <f t="shared" si="6"/>
        <v>96013.704169300006</v>
      </c>
      <c r="S7" s="16">
        <v>388.58167727604587</v>
      </c>
      <c r="T7" s="16">
        <f t="shared" si="7"/>
        <v>497.11890807604584</v>
      </c>
    </row>
    <row r="8" spans="1:20" x14ac:dyDescent="0.2">
      <c r="A8" s="6" t="s">
        <v>32</v>
      </c>
      <c r="B8" s="7">
        <v>7032427</v>
      </c>
      <c r="C8" s="7"/>
      <c r="D8" s="21">
        <v>90</v>
      </c>
      <c r="E8" s="21">
        <v>3</v>
      </c>
      <c r="F8" s="21">
        <v>7</v>
      </c>
      <c r="G8" s="30">
        <f t="shared" ref="G8:G9" si="11">ROUND(D8/100*B8,2)</f>
        <v>6329184.2999999998</v>
      </c>
      <c r="H8" s="30">
        <f t="shared" ref="H8:H9" si="12">ROUND(E8/100*B8,2)</f>
        <v>210972.81</v>
      </c>
      <c r="I8" s="30">
        <f t="shared" ref="I8:I9" si="13">ROUND(F8/100*B8,2)</f>
        <v>492269.89</v>
      </c>
      <c r="J8" s="11"/>
      <c r="K8" s="38"/>
      <c r="L8" s="16">
        <f t="shared" si="0"/>
        <v>1196.2158327</v>
      </c>
      <c r="M8" s="16">
        <f t="shared" si="1"/>
        <v>44.515262900000003</v>
      </c>
      <c r="N8" s="16">
        <f t="shared" si="2"/>
        <v>87.131770500000002</v>
      </c>
      <c r="O8" s="16">
        <f t="shared" si="3"/>
        <v>1327.8628661</v>
      </c>
      <c r="P8" s="30">
        <f t="shared" si="4"/>
        <v>1021432.9739231</v>
      </c>
      <c r="Q8" s="30">
        <f t="shared" si="5"/>
        <v>1327862.8661</v>
      </c>
      <c r="R8" s="30">
        <f t="shared" si="6"/>
        <v>1174647.9200116</v>
      </c>
      <c r="S8" s="16">
        <v>3845.5844061094172</v>
      </c>
      <c r="T8" s="16">
        <f t="shared" si="7"/>
        <v>5173.447272209417</v>
      </c>
    </row>
    <row r="9" spans="1:20" x14ac:dyDescent="0.2">
      <c r="A9" s="6" t="s">
        <v>33</v>
      </c>
      <c r="B9" s="7">
        <v>4286191</v>
      </c>
      <c r="C9" s="17"/>
      <c r="D9" s="19">
        <v>93.6</v>
      </c>
      <c r="E9" s="19">
        <v>2.2999999999999998</v>
      </c>
      <c r="F9" s="19">
        <v>4.0999999999999996</v>
      </c>
      <c r="G9" s="30">
        <f t="shared" si="11"/>
        <v>4011874.78</v>
      </c>
      <c r="H9" s="30">
        <f t="shared" si="12"/>
        <v>98582.39</v>
      </c>
      <c r="I9" s="30">
        <f t="shared" si="13"/>
        <v>175733.83</v>
      </c>
      <c r="J9" s="11"/>
      <c r="K9" s="38"/>
      <c r="L9" s="16">
        <f t="shared" si="0"/>
        <v>758.24433339999996</v>
      </c>
      <c r="M9" s="16">
        <f t="shared" si="1"/>
        <v>20.8008843</v>
      </c>
      <c r="N9" s="16">
        <f t="shared" si="2"/>
        <v>31.104887900000001</v>
      </c>
      <c r="O9" s="16">
        <f t="shared" si="3"/>
        <v>810.15010559999996</v>
      </c>
      <c r="P9" s="30">
        <f t="shared" si="4"/>
        <v>623192.38892309996</v>
      </c>
      <c r="Q9" s="30">
        <f t="shared" si="5"/>
        <v>810150.10560000001</v>
      </c>
      <c r="R9" s="30">
        <f t="shared" si="6"/>
        <v>716671.24726159999</v>
      </c>
      <c r="S9" s="16">
        <v>2343.8436362306397</v>
      </c>
      <c r="T9" s="16">
        <f t="shared" si="7"/>
        <v>3153.9937418306399</v>
      </c>
    </row>
    <row r="10" spans="1:20" x14ac:dyDescent="0.2">
      <c r="A10" s="6" t="s">
        <v>35</v>
      </c>
      <c r="B10" s="8">
        <v>9199100</v>
      </c>
      <c r="C10" s="7">
        <v>8851700</v>
      </c>
      <c r="D10" s="19">
        <v>70</v>
      </c>
      <c r="E10" s="19">
        <v>13</v>
      </c>
      <c r="F10" s="19">
        <v>17</v>
      </c>
      <c r="G10" s="30">
        <f>ROUND(D10/100*C10,2)</f>
        <v>6196190</v>
      </c>
      <c r="H10" s="30">
        <f>ROUND(E10/100*C10,2)</f>
        <v>1150721</v>
      </c>
      <c r="I10" s="30">
        <f>ROUND(F10/100*C10,2)</f>
        <v>1504789</v>
      </c>
      <c r="J10" s="11"/>
      <c r="K10" s="38"/>
      <c r="L10" s="16">
        <f t="shared" si="0"/>
        <v>1171.0799099999999</v>
      </c>
      <c r="M10" s="16">
        <f t="shared" si="1"/>
        <v>242.802131</v>
      </c>
      <c r="N10" s="16">
        <f t="shared" si="2"/>
        <v>266.34765299999998</v>
      </c>
      <c r="O10" s="16">
        <f t="shared" si="3"/>
        <v>1680.2296940000001</v>
      </c>
      <c r="P10" s="30">
        <f t="shared" si="4"/>
        <v>1292484.3799999999</v>
      </c>
      <c r="Q10" s="30">
        <f t="shared" si="5"/>
        <v>1680229.6939999999</v>
      </c>
      <c r="R10" s="30">
        <f t="shared" si="6"/>
        <v>1486357.037</v>
      </c>
      <c r="S10" s="16">
        <v>5030.3992505348633</v>
      </c>
      <c r="T10" s="16">
        <f t="shared" si="7"/>
        <v>6710.628944534863</v>
      </c>
    </row>
    <row r="11" spans="1:20" x14ac:dyDescent="0.2">
      <c r="A11" s="6" t="s">
        <v>37</v>
      </c>
      <c r="B11" s="7">
        <v>220700</v>
      </c>
      <c r="C11" s="7"/>
      <c r="D11" s="22">
        <v>52</v>
      </c>
      <c r="E11" s="23">
        <v>23</v>
      </c>
      <c r="F11" s="23">
        <v>25</v>
      </c>
      <c r="G11" s="30">
        <f>ROUND(D11/100*B11,2)</f>
        <v>114764</v>
      </c>
      <c r="H11" s="30">
        <f>ROUND(E11/100*B11,2)</f>
        <v>50761</v>
      </c>
      <c r="I11" s="30">
        <f>ROUND(F11/100*B11,2)</f>
        <v>55175</v>
      </c>
      <c r="J11" s="11"/>
      <c r="K11" s="38"/>
      <c r="L11" s="16">
        <f t="shared" si="0"/>
        <v>21.690396</v>
      </c>
      <c r="M11" s="16">
        <f t="shared" si="1"/>
        <v>10.710571</v>
      </c>
      <c r="N11" s="16">
        <f t="shared" si="2"/>
        <v>9.7659749999999992</v>
      </c>
      <c r="O11" s="16">
        <f t="shared" si="3"/>
        <v>42.166941999999999</v>
      </c>
      <c r="P11" s="30">
        <f t="shared" si="4"/>
        <v>32436.109230800001</v>
      </c>
      <c r="Q11" s="30">
        <f t="shared" si="5"/>
        <v>42166.942000000003</v>
      </c>
      <c r="R11" s="30">
        <f t="shared" si="6"/>
        <v>37301.525615400002</v>
      </c>
      <c r="S11" s="16">
        <v>120.6867100687072</v>
      </c>
      <c r="T11" s="16">
        <f t="shared" si="7"/>
        <v>162.85365206870719</v>
      </c>
    </row>
    <row r="12" spans="1:20" x14ac:dyDescent="0.2">
      <c r="A12" s="6" t="s">
        <v>39</v>
      </c>
      <c r="B12" s="7">
        <v>2031894</v>
      </c>
      <c r="C12" s="7">
        <v>1162000</v>
      </c>
      <c r="D12" s="22">
        <v>84</v>
      </c>
      <c r="E12" s="23">
        <v>3</v>
      </c>
      <c r="F12" s="23">
        <v>13</v>
      </c>
      <c r="G12" s="30">
        <f>ROUND(D12/100*C12,2)</f>
        <v>976080</v>
      </c>
      <c r="H12" s="30">
        <f>ROUND(E12/100*C12,2)</f>
        <v>34860</v>
      </c>
      <c r="I12" s="30">
        <f>ROUND(F12/100*C12,2)</f>
        <v>151060</v>
      </c>
      <c r="J12" s="11"/>
      <c r="K12" s="38"/>
      <c r="L12" s="16">
        <f t="shared" si="0"/>
        <v>184.47911999999999</v>
      </c>
      <c r="M12" s="16">
        <f t="shared" si="1"/>
        <v>7.3554599999999999</v>
      </c>
      <c r="N12" s="16">
        <f t="shared" si="2"/>
        <v>26.73762</v>
      </c>
      <c r="O12" s="16">
        <f t="shared" si="3"/>
        <v>218.57220000000001</v>
      </c>
      <c r="P12" s="30">
        <f t="shared" si="4"/>
        <v>168132.46153850001</v>
      </c>
      <c r="Q12" s="30">
        <f t="shared" si="5"/>
        <v>218572.2</v>
      </c>
      <c r="R12" s="30">
        <f t="shared" si="6"/>
        <v>193352.3307693</v>
      </c>
      <c r="S12" s="16">
        <v>1111.1128322081818</v>
      </c>
      <c r="T12" s="16">
        <f t="shared" si="7"/>
        <v>1329.6850322081818</v>
      </c>
    </row>
    <row r="13" spans="1:20" x14ac:dyDescent="0.2">
      <c r="A13" s="6" t="s">
        <v>40</v>
      </c>
      <c r="B13" s="7">
        <v>4329523</v>
      </c>
      <c r="C13" s="7"/>
      <c r="D13" s="21">
        <v>80</v>
      </c>
      <c r="E13" s="23">
        <v>7</v>
      </c>
      <c r="F13" s="23">
        <v>13</v>
      </c>
      <c r="G13" s="30">
        <f t="shared" ref="G13:G20" si="14">ROUND(D13/100*B13,2)</f>
        <v>3463618.4</v>
      </c>
      <c r="H13" s="30">
        <f t="shared" ref="H13:H20" si="15">ROUND(E13/100*B13,2)</f>
        <v>303066.61</v>
      </c>
      <c r="I13" s="30">
        <f t="shared" ref="I13:I20" si="16">ROUND(F13/100*B13,2)</f>
        <v>562837.99</v>
      </c>
      <c r="J13" s="11"/>
      <c r="K13" s="38"/>
      <c r="L13" s="16">
        <f t="shared" si="0"/>
        <v>654.62387760000001</v>
      </c>
      <c r="M13" s="16">
        <f t="shared" si="1"/>
        <v>63.947054700000002</v>
      </c>
      <c r="N13" s="16">
        <f t="shared" si="2"/>
        <v>99.622324199999994</v>
      </c>
      <c r="O13" s="16">
        <f t="shared" si="3"/>
        <v>818.19325649999996</v>
      </c>
      <c r="P13" s="30">
        <f t="shared" si="4"/>
        <v>629379.42807689996</v>
      </c>
      <c r="Q13" s="30">
        <f t="shared" si="5"/>
        <v>818193.25650000002</v>
      </c>
      <c r="R13" s="30">
        <f t="shared" si="6"/>
        <v>723786.34228850005</v>
      </c>
      <c r="S13" s="16">
        <v>2367.5391347385562</v>
      </c>
      <c r="T13" s="16">
        <f t="shared" si="7"/>
        <v>3185.7323912385564</v>
      </c>
    </row>
    <row r="14" spans="1:20" x14ac:dyDescent="0.2">
      <c r="A14" s="6" t="s">
        <v>44</v>
      </c>
      <c r="B14" s="7">
        <v>227005</v>
      </c>
      <c r="C14" s="7"/>
      <c r="D14" s="21">
        <v>80</v>
      </c>
      <c r="E14" s="23">
        <v>6</v>
      </c>
      <c r="F14" s="23">
        <v>14</v>
      </c>
      <c r="G14" s="30">
        <f t="shared" si="14"/>
        <v>181604</v>
      </c>
      <c r="H14" s="30">
        <f t="shared" si="15"/>
        <v>13620.3</v>
      </c>
      <c r="I14" s="30">
        <f t="shared" si="16"/>
        <v>31780.7</v>
      </c>
      <c r="J14" s="11"/>
      <c r="K14" s="38"/>
      <c r="L14" s="16">
        <f t="shared" si="0"/>
        <v>34.323155999999997</v>
      </c>
      <c r="M14" s="16">
        <f t="shared" si="1"/>
        <v>2.8738833000000001</v>
      </c>
      <c r="N14" s="16">
        <f t="shared" si="2"/>
        <v>5.6251838999999997</v>
      </c>
      <c r="O14" s="16">
        <f t="shared" si="3"/>
        <v>42.822223200000003</v>
      </c>
      <c r="P14" s="30">
        <f t="shared" si="4"/>
        <v>32940.171692299999</v>
      </c>
      <c r="Q14" s="30">
        <f t="shared" si="5"/>
        <v>42822.2232</v>
      </c>
      <c r="R14" s="30">
        <f t="shared" si="6"/>
        <v>37881.1974462</v>
      </c>
      <c r="S14" s="16">
        <v>124.13451118779734</v>
      </c>
      <c r="T14" s="16">
        <f t="shared" si="7"/>
        <v>166.95673438779735</v>
      </c>
    </row>
    <row r="15" spans="1:20" x14ac:dyDescent="0.2">
      <c r="A15" s="6" t="s">
        <v>45</v>
      </c>
      <c r="B15" s="7">
        <v>24182366</v>
      </c>
      <c r="C15" s="7"/>
      <c r="D15" s="22">
        <v>72</v>
      </c>
      <c r="E15" s="23">
        <v>13</v>
      </c>
      <c r="F15" s="23">
        <v>15</v>
      </c>
      <c r="G15" s="30">
        <f t="shared" si="14"/>
        <v>17411303.52</v>
      </c>
      <c r="H15" s="30">
        <f t="shared" si="15"/>
        <v>3143707.58</v>
      </c>
      <c r="I15" s="30">
        <f t="shared" si="16"/>
        <v>3627354.9</v>
      </c>
      <c r="J15" s="11"/>
      <c r="K15" s="38"/>
      <c r="L15" s="16">
        <f t="shared" si="0"/>
        <v>3290.7363653000002</v>
      </c>
      <c r="M15" s="16">
        <f t="shared" si="1"/>
        <v>663.32229940000002</v>
      </c>
      <c r="N15" s="16">
        <f t="shared" si="2"/>
        <v>642.04181730000005</v>
      </c>
      <c r="O15" s="16">
        <f t="shared" si="3"/>
        <v>4596.1004819999998</v>
      </c>
      <c r="P15" s="30">
        <f t="shared" si="4"/>
        <v>3535461.9092307999</v>
      </c>
      <c r="Q15" s="30">
        <f t="shared" si="5"/>
        <v>4596100.4819999998</v>
      </c>
      <c r="R15" s="30">
        <f t="shared" si="6"/>
        <v>4065781.1956154001</v>
      </c>
      <c r="S15" s="16">
        <v>13223.788827446135</v>
      </c>
      <c r="T15" s="16">
        <f t="shared" si="7"/>
        <v>17819.889309446135</v>
      </c>
    </row>
    <row r="16" spans="1:20" x14ac:dyDescent="0.2">
      <c r="A16" s="6" t="s">
        <v>46</v>
      </c>
      <c r="B16" s="7">
        <v>1674739</v>
      </c>
      <c r="C16" s="7"/>
      <c r="D16" s="22">
        <v>62</v>
      </c>
      <c r="E16" s="23">
        <v>12</v>
      </c>
      <c r="F16" s="23">
        <v>26</v>
      </c>
      <c r="G16" s="30">
        <f t="shared" si="14"/>
        <v>1038338.18</v>
      </c>
      <c r="H16" s="30">
        <f t="shared" si="15"/>
        <v>200968.68</v>
      </c>
      <c r="I16" s="30">
        <f t="shared" si="16"/>
        <v>435432.14</v>
      </c>
      <c r="J16" s="11"/>
      <c r="K16" s="38"/>
      <c r="L16" s="16">
        <f t="shared" si="0"/>
        <v>196.24591599999999</v>
      </c>
      <c r="M16" s="16">
        <f t="shared" si="1"/>
        <v>42.404391500000003</v>
      </c>
      <c r="N16" s="16">
        <f t="shared" si="2"/>
        <v>77.071488799999997</v>
      </c>
      <c r="O16" s="16">
        <f t="shared" si="3"/>
        <v>315.72179629999999</v>
      </c>
      <c r="P16" s="30">
        <f t="shared" si="4"/>
        <v>242862.92023079999</v>
      </c>
      <c r="Q16" s="30">
        <f t="shared" si="5"/>
        <v>315721.79629999999</v>
      </c>
      <c r="R16" s="30">
        <f t="shared" si="6"/>
        <v>279292.35826539999</v>
      </c>
      <c r="S16" s="16">
        <v>915.80761274923702</v>
      </c>
      <c r="T16" s="16">
        <f t="shared" si="7"/>
        <v>1231.5294090492371</v>
      </c>
    </row>
    <row r="17" spans="1:20" x14ac:dyDescent="0.2">
      <c r="A17" s="6" t="s">
        <v>49</v>
      </c>
      <c r="B17" s="8">
        <v>7617000</v>
      </c>
      <c r="C17" s="7"/>
      <c r="D17" s="21">
        <v>68</v>
      </c>
      <c r="E17" s="23">
        <v>8</v>
      </c>
      <c r="F17" s="23">
        <v>24</v>
      </c>
      <c r="G17" s="30">
        <f t="shared" si="14"/>
        <v>5179560</v>
      </c>
      <c r="H17" s="30">
        <f t="shared" si="15"/>
        <v>609360</v>
      </c>
      <c r="I17" s="30">
        <f t="shared" si="16"/>
        <v>1828080</v>
      </c>
      <c r="J17" s="11"/>
      <c r="K17" s="38"/>
      <c r="L17" s="16">
        <f t="shared" si="0"/>
        <v>978.93683999999996</v>
      </c>
      <c r="M17" s="16">
        <f t="shared" si="1"/>
        <v>128.57496</v>
      </c>
      <c r="N17" s="16">
        <f t="shared" si="2"/>
        <v>323.57015999999999</v>
      </c>
      <c r="O17" s="16">
        <f t="shared" si="3"/>
        <v>1431.08196</v>
      </c>
      <c r="P17" s="30">
        <f t="shared" si="4"/>
        <v>1100832.2769231</v>
      </c>
      <c r="Q17" s="30">
        <f t="shared" si="5"/>
        <v>1431081.96</v>
      </c>
      <c r="R17" s="30">
        <f t="shared" si="6"/>
        <v>1265957.1184616</v>
      </c>
      <c r="S17" s="16">
        <v>4165.2499800332698</v>
      </c>
      <c r="T17" s="16">
        <f t="shared" si="7"/>
        <v>5596.3319400332693</v>
      </c>
    </row>
    <row r="18" spans="1:20" x14ac:dyDescent="0.2">
      <c r="A18" s="6" t="s">
        <v>61</v>
      </c>
      <c r="B18" s="7">
        <v>366258</v>
      </c>
      <c r="C18" s="7"/>
      <c r="D18" s="22">
        <v>66</v>
      </c>
      <c r="E18" s="23">
        <v>11</v>
      </c>
      <c r="F18" s="23">
        <v>23</v>
      </c>
      <c r="G18" s="30">
        <f t="shared" si="14"/>
        <v>241730.28</v>
      </c>
      <c r="H18" s="30">
        <f t="shared" si="15"/>
        <v>40288.379999999997</v>
      </c>
      <c r="I18" s="30">
        <f t="shared" si="16"/>
        <v>84239.34</v>
      </c>
      <c r="J18" s="11"/>
      <c r="K18" s="38"/>
      <c r="L18" s="16">
        <f t="shared" si="0"/>
        <v>45.687022900000002</v>
      </c>
      <c r="M18" s="16">
        <f t="shared" si="1"/>
        <v>8.5008482000000001</v>
      </c>
      <c r="N18" s="16">
        <f t="shared" si="2"/>
        <v>14.910363200000001</v>
      </c>
      <c r="O18" s="16">
        <f t="shared" si="3"/>
        <v>69.098234300000001</v>
      </c>
      <c r="P18" s="30">
        <f t="shared" si="4"/>
        <v>53152.487923100001</v>
      </c>
      <c r="Q18" s="30">
        <f t="shared" si="5"/>
        <v>69098.234299999996</v>
      </c>
      <c r="R18" s="30">
        <f t="shared" si="6"/>
        <v>61125.361111600003</v>
      </c>
      <c r="S18" s="16">
        <v>200.28306776775966</v>
      </c>
      <c r="T18" s="16">
        <f t="shared" si="7"/>
        <v>269.38130206775963</v>
      </c>
    </row>
    <row r="19" spans="1:20" x14ac:dyDescent="0.2">
      <c r="A19" s="6" t="s">
        <v>62</v>
      </c>
      <c r="B19" s="7">
        <v>2767309</v>
      </c>
      <c r="C19" s="7"/>
      <c r="D19" s="21">
        <v>80</v>
      </c>
      <c r="E19" s="23">
        <v>10</v>
      </c>
      <c r="F19" s="23">
        <v>10</v>
      </c>
      <c r="G19" s="30">
        <f t="shared" si="14"/>
        <v>2213847.2000000002</v>
      </c>
      <c r="H19" s="30">
        <f t="shared" si="15"/>
        <v>276730.90000000002</v>
      </c>
      <c r="I19" s="30">
        <f t="shared" si="16"/>
        <v>276730.90000000002</v>
      </c>
      <c r="J19" s="11"/>
      <c r="K19" s="38"/>
      <c r="L19" s="16">
        <f t="shared" si="0"/>
        <v>418.41712080000002</v>
      </c>
      <c r="M19" s="16">
        <f t="shared" si="1"/>
        <v>58.390219899999998</v>
      </c>
      <c r="N19" s="16">
        <f t="shared" si="2"/>
        <v>48.981369299999997</v>
      </c>
      <c r="O19" s="16">
        <f t="shared" si="3"/>
        <v>525.78871000000004</v>
      </c>
      <c r="P19" s="30">
        <f t="shared" si="4"/>
        <v>404452.85384619999</v>
      </c>
      <c r="Q19" s="30">
        <f t="shared" si="5"/>
        <v>525788.71</v>
      </c>
      <c r="R19" s="30">
        <f t="shared" si="6"/>
        <v>465120.7819231</v>
      </c>
      <c r="S19" s="16">
        <v>1513.2642453716537</v>
      </c>
      <c r="T19" s="16">
        <f t="shared" si="7"/>
        <v>2039.0529553716538</v>
      </c>
    </row>
    <row r="20" spans="1:20" x14ac:dyDescent="0.2">
      <c r="A20" s="6" t="s">
        <v>64</v>
      </c>
      <c r="B20" s="8">
        <v>43930000</v>
      </c>
      <c r="C20" s="9"/>
      <c r="D20" s="19">
        <v>85</v>
      </c>
      <c r="E20" s="19">
        <v>5</v>
      </c>
      <c r="F20" s="19">
        <v>10</v>
      </c>
      <c r="G20" s="30">
        <f t="shared" si="14"/>
        <v>37340500</v>
      </c>
      <c r="H20" s="30">
        <f t="shared" si="15"/>
        <v>2196500</v>
      </c>
      <c r="I20" s="30">
        <f t="shared" si="16"/>
        <v>4393000</v>
      </c>
      <c r="J20" s="11">
        <v>46</v>
      </c>
      <c r="K20" s="135">
        <v>6699</v>
      </c>
      <c r="L20" s="16">
        <f t="shared" si="0"/>
        <v>7057.3545000000004</v>
      </c>
      <c r="M20" s="16">
        <f t="shared" si="1"/>
        <v>463.4615</v>
      </c>
      <c r="N20" s="16">
        <f t="shared" si="2"/>
        <v>777.56100000000004</v>
      </c>
      <c r="O20" s="16">
        <f t="shared" si="3"/>
        <v>8298.3770000000004</v>
      </c>
      <c r="P20" s="30">
        <f t="shared" si="4"/>
        <v>6383366.9230768997</v>
      </c>
      <c r="Q20" s="30">
        <f t="shared" si="5"/>
        <v>8298377</v>
      </c>
      <c r="R20" s="30">
        <f t="shared" si="6"/>
        <v>7340871.9615385002</v>
      </c>
      <c r="S20" s="16">
        <v>24022.506449108772</v>
      </c>
      <c r="T20" s="16">
        <f t="shared" si="7"/>
        <v>32320.883449108773</v>
      </c>
    </row>
    <row r="21" spans="1:20" x14ac:dyDescent="0.2">
      <c r="A21" s="6" t="s">
        <v>72</v>
      </c>
      <c r="B21" s="8">
        <v>494200</v>
      </c>
      <c r="C21" s="7">
        <v>393400</v>
      </c>
      <c r="D21" s="19">
        <v>60</v>
      </c>
      <c r="E21" s="19">
        <v>15</v>
      </c>
      <c r="F21" s="19">
        <v>25</v>
      </c>
      <c r="G21" s="30">
        <f>ROUND(D21/100*C21,2)</f>
        <v>236040</v>
      </c>
      <c r="H21" s="30">
        <f>ROUND(E21/100*C21,2)</f>
        <v>59010</v>
      </c>
      <c r="I21" s="30">
        <f>ROUND(F21/100*C21,2)</f>
        <v>98350</v>
      </c>
      <c r="J21" s="11"/>
      <c r="K21" s="38"/>
      <c r="L21" s="16">
        <f t="shared" si="0"/>
        <v>44.611559999999997</v>
      </c>
      <c r="M21" s="16">
        <f t="shared" si="1"/>
        <v>12.45111</v>
      </c>
      <c r="N21" s="16">
        <f t="shared" si="2"/>
        <v>17.40795</v>
      </c>
      <c r="O21" s="16">
        <f t="shared" si="3"/>
        <v>74.470619999999997</v>
      </c>
      <c r="P21" s="30">
        <f t="shared" si="4"/>
        <v>57285.092307699997</v>
      </c>
      <c r="Q21" s="30">
        <f t="shared" si="5"/>
        <v>74470.62</v>
      </c>
      <c r="R21" s="30">
        <f t="shared" si="6"/>
        <v>65877.856153899993</v>
      </c>
      <c r="S21" s="16">
        <v>270.24636210219796</v>
      </c>
      <c r="T21" s="16">
        <f t="shared" si="7"/>
        <v>344.71698210219796</v>
      </c>
    </row>
    <row r="22" spans="1:20" x14ac:dyDescent="0.2">
      <c r="A22" s="6" t="s">
        <v>73</v>
      </c>
      <c r="B22" s="7">
        <v>704582</v>
      </c>
      <c r="C22" s="7"/>
      <c r="D22" s="19">
        <v>75</v>
      </c>
      <c r="E22" s="19">
        <v>19</v>
      </c>
      <c r="F22" s="19">
        <v>6</v>
      </c>
      <c r="G22" s="30">
        <f t="shared" ref="G22:G23" si="17">ROUND(D22/100*B22,2)</f>
        <v>528436.5</v>
      </c>
      <c r="H22" s="30">
        <f t="shared" ref="H22:H23" si="18">ROUND(E22/100*B22,2)</f>
        <v>133870.57999999999</v>
      </c>
      <c r="I22" s="30">
        <f t="shared" ref="I22:I23" si="19">ROUND(F22/100*B22,2)</f>
        <v>42274.92</v>
      </c>
      <c r="J22" s="11"/>
      <c r="K22" s="38"/>
      <c r="L22" s="16">
        <f t="shared" si="0"/>
        <v>99.874498500000001</v>
      </c>
      <c r="M22" s="16">
        <f t="shared" si="1"/>
        <v>28.246692400000001</v>
      </c>
      <c r="N22" s="16">
        <f t="shared" si="2"/>
        <v>7.4826607999999997</v>
      </c>
      <c r="O22" s="16">
        <f t="shared" si="3"/>
        <v>135.60385170000001</v>
      </c>
      <c r="P22" s="30">
        <f t="shared" si="4"/>
        <v>104310.65515380001</v>
      </c>
      <c r="Q22" s="30">
        <f t="shared" si="5"/>
        <v>135603.8517</v>
      </c>
      <c r="R22" s="30">
        <f t="shared" si="6"/>
        <v>119957.2534269</v>
      </c>
      <c r="S22" s="16">
        <v>385.29081809528697</v>
      </c>
      <c r="T22" s="16">
        <f t="shared" si="7"/>
        <v>520.89466979528697</v>
      </c>
    </row>
    <row r="23" spans="1:20" x14ac:dyDescent="0.2">
      <c r="A23" s="6" t="s">
        <v>76</v>
      </c>
      <c r="B23" s="8">
        <v>10560000</v>
      </c>
      <c r="C23" s="7"/>
      <c r="D23" s="19">
        <v>56</v>
      </c>
      <c r="E23" s="19">
        <v>15</v>
      </c>
      <c r="F23" s="19">
        <v>29</v>
      </c>
      <c r="G23" s="30">
        <f t="shared" si="17"/>
        <v>5913600</v>
      </c>
      <c r="H23" s="30">
        <f t="shared" si="18"/>
        <v>1584000</v>
      </c>
      <c r="I23" s="30">
        <f t="shared" si="19"/>
        <v>3062400</v>
      </c>
      <c r="J23" s="11"/>
      <c r="K23" s="38"/>
      <c r="L23" s="16">
        <f t="shared" si="0"/>
        <v>1117.6704</v>
      </c>
      <c r="M23" s="16">
        <f t="shared" si="1"/>
        <v>334.22399999999999</v>
      </c>
      <c r="N23" s="16">
        <f t="shared" si="2"/>
        <v>542.04480000000001</v>
      </c>
      <c r="O23" s="16">
        <f t="shared" si="3"/>
        <v>1993.9392</v>
      </c>
      <c r="P23" s="30">
        <f t="shared" si="4"/>
        <v>1533799.3846154001</v>
      </c>
      <c r="Q23" s="30">
        <f t="shared" si="5"/>
        <v>1993939.2</v>
      </c>
      <c r="R23" s="30">
        <f t="shared" si="6"/>
        <v>1763869.2923077</v>
      </c>
      <c r="S23" s="16">
        <v>5774.588392956719</v>
      </c>
      <c r="T23" s="16">
        <f t="shared" si="7"/>
        <v>7768.5275929567188</v>
      </c>
    </row>
    <row r="24" spans="1:20" x14ac:dyDescent="0.2">
      <c r="A24" s="6" t="s">
        <v>85</v>
      </c>
      <c r="B24" s="8">
        <v>4645600</v>
      </c>
      <c r="C24" s="7">
        <v>4570200</v>
      </c>
      <c r="D24" s="22">
        <v>76</v>
      </c>
      <c r="E24" s="23">
        <v>10</v>
      </c>
      <c r="F24" s="23">
        <v>14</v>
      </c>
      <c r="G24" s="30">
        <f>ROUND(D24/100*C24,2)</f>
        <v>3473352</v>
      </c>
      <c r="H24" s="30">
        <f>ROUND(E24/100*C24,2)</f>
        <v>457020</v>
      </c>
      <c r="I24" s="30">
        <f>ROUND(F24/100*C24,2)</f>
        <v>639828</v>
      </c>
      <c r="J24" s="11"/>
      <c r="K24" s="38"/>
      <c r="L24" s="16">
        <f t="shared" si="0"/>
        <v>656.463528</v>
      </c>
      <c r="M24" s="16">
        <f t="shared" si="1"/>
        <v>96.431219999999996</v>
      </c>
      <c r="N24" s="16">
        <f t="shared" si="2"/>
        <v>113.249556</v>
      </c>
      <c r="O24" s="16">
        <f t="shared" si="3"/>
        <v>866.14430400000003</v>
      </c>
      <c r="P24" s="30">
        <f t="shared" si="4"/>
        <v>666264.84923080006</v>
      </c>
      <c r="Q24" s="30">
        <f t="shared" si="5"/>
        <v>866144.304</v>
      </c>
      <c r="R24" s="30">
        <f t="shared" si="6"/>
        <v>766204.57661540003</v>
      </c>
      <c r="S24" s="16">
        <v>2540.381424083308</v>
      </c>
      <c r="T24" s="16">
        <f t="shared" si="7"/>
        <v>3406.525728083308</v>
      </c>
    </row>
    <row r="25" spans="1:20" x14ac:dyDescent="0.2">
      <c r="A25" s="6" t="s">
        <v>86</v>
      </c>
      <c r="B25" s="7">
        <v>671979</v>
      </c>
      <c r="C25" s="7"/>
      <c r="D25" s="22">
        <v>82</v>
      </c>
      <c r="E25" s="23">
        <v>4</v>
      </c>
      <c r="F25" s="23">
        <v>14</v>
      </c>
      <c r="G25" s="30">
        <f t="shared" ref="G25:G27" si="20">ROUND(D25/100*B25,2)</f>
        <v>551022.78</v>
      </c>
      <c r="H25" s="30">
        <f t="shared" ref="H25:H27" si="21">ROUND(E25/100*B25,2)</f>
        <v>26879.16</v>
      </c>
      <c r="I25" s="30">
        <f t="shared" ref="I25:I27" si="22">ROUND(F25/100*B25,2)</f>
        <v>94077.06</v>
      </c>
      <c r="J25" s="11"/>
      <c r="K25" s="38"/>
      <c r="L25" s="16">
        <f t="shared" si="0"/>
        <v>104.1433054</v>
      </c>
      <c r="M25" s="16">
        <f t="shared" si="1"/>
        <v>5.6715027999999998</v>
      </c>
      <c r="N25" s="16">
        <f t="shared" si="2"/>
        <v>16.651639599999999</v>
      </c>
      <c r="O25" s="16">
        <f t="shared" si="3"/>
        <v>126.4664478</v>
      </c>
      <c r="P25" s="30">
        <f t="shared" si="4"/>
        <v>97281.882923099998</v>
      </c>
      <c r="Q25" s="30">
        <f t="shared" si="5"/>
        <v>126466.44779999999</v>
      </c>
      <c r="R25" s="30">
        <f t="shared" si="6"/>
        <v>111874.1653616</v>
      </c>
      <c r="S25" s="16">
        <v>367.46232326805523</v>
      </c>
      <c r="T25" s="16">
        <f t="shared" si="7"/>
        <v>493.9287710680552</v>
      </c>
    </row>
    <row r="26" spans="1:20" x14ac:dyDescent="0.2">
      <c r="A26" s="6" t="s">
        <v>106</v>
      </c>
      <c r="B26" s="8">
        <v>17940000</v>
      </c>
      <c r="C26" s="7"/>
      <c r="D26" s="22">
        <v>75</v>
      </c>
      <c r="E26" s="23">
        <v>7</v>
      </c>
      <c r="F26" s="23">
        <v>16</v>
      </c>
      <c r="G26" s="30">
        <f t="shared" si="20"/>
        <v>13455000</v>
      </c>
      <c r="H26" s="30">
        <f t="shared" si="21"/>
        <v>1255800</v>
      </c>
      <c r="I26" s="30">
        <f t="shared" si="22"/>
        <v>2870400</v>
      </c>
      <c r="J26" s="11"/>
      <c r="K26" s="38"/>
      <c r="L26" s="16">
        <f t="shared" si="0"/>
        <v>2542.9949999999999</v>
      </c>
      <c r="M26" s="16">
        <f t="shared" si="1"/>
        <v>264.97379999999998</v>
      </c>
      <c r="N26" s="16">
        <f t="shared" si="2"/>
        <v>508.06079999999997</v>
      </c>
      <c r="O26" s="16">
        <f t="shared" si="3"/>
        <v>3316.0295999999998</v>
      </c>
      <c r="P26" s="30">
        <f t="shared" si="4"/>
        <v>2550792</v>
      </c>
      <c r="Q26" s="30">
        <f t="shared" si="5"/>
        <v>3316029.6</v>
      </c>
      <c r="R26" s="30">
        <f t="shared" si="6"/>
        <v>2933410.8</v>
      </c>
      <c r="S26" s="16">
        <v>9810.2382357616989</v>
      </c>
      <c r="T26" s="16">
        <f t="shared" si="7"/>
        <v>13126.267835761699</v>
      </c>
    </row>
    <row r="27" spans="1:20" x14ac:dyDescent="0.2">
      <c r="A27" s="6" t="s">
        <v>115</v>
      </c>
      <c r="B27" s="8">
        <v>894500</v>
      </c>
      <c r="C27" s="7"/>
      <c r="D27" s="22">
        <v>86</v>
      </c>
      <c r="E27" s="23">
        <v>7</v>
      </c>
      <c r="F27" s="23">
        <v>7</v>
      </c>
      <c r="G27" s="30">
        <f t="shared" si="20"/>
        <v>769270</v>
      </c>
      <c r="H27" s="30">
        <f t="shared" si="21"/>
        <v>62615</v>
      </c>
      <c r="I27" s="30">
        <f t="shared" si="22"/>
        <v>62615</v>
      </c>
      <c r="J27" s="11"/>
      <c r="K27" s="38"/>
      <c r="L27" s="16">
        <f t="shared" si="0"/>
        <v>145.39203000000001</v>
      </c>
      <c r="M27" s="16">
        <f t="shared" si="1"/>
        <v>13.211765</v>
      </c>
      <c r="N27" s="16">
        <f t="shared" si="2"/>
        <v>11.082855</v>
      </c>
      <c r="O27" s="16">
        <f t="shared" si="3"/>
        <v>169.68664999999999</v>
      </c>
      <c r="P27" s="30">
        <f t="shared" si="4"/>
        <v>130528.1923077</v>
      </c>
      <c r="Q27" s="30">
        <f t="shared" si="5"/>
        <v>169686.65</v>
      </c>
      <c r="R27" s="30">
        <f t="shared" si="6"/>
        <v>150107.42115390001</v>
      </c>
      <c r="S27" s="16">
        <v>489.14482173293419</v>
      </c>
      <c r="T27" s="16">
        <f t="shared" si="7"/>
        <v>658.83147173293423</v>
      </c>
    </row>
    <row r="28" spans="1:20" x14ac:dyDescent="0.2">
      <c r="A28" s="6" t="s">
        <v>116</v>
      </c>
      <c r="B28" s="8">
        <v>1133000</v>
      </c>
      <c r="C28" s="7">
        <v>1091000</v>
      </c>
      <c r="D28" s="19">
        <v>70</v>
      </c>
      <c r="E28" s="19">
        <v>8</v>
      </c>
      <c r="F28" s="19">
        <v>22</v>
      </c>
      <c r="G28" s="30">
        <f t="shared" ref="G28:G29" si="23">ROUND(D28/100*C28,2)</f>
        <v>763700</v>
      </c>
      <c r="H28" s="30">
        <f t="shared" ref="H28:H29" si="24">ROUND(E28/100*C28,2)</f>
        <v>87280</v>
      </c>
      <c r="I28" s="30">
        <f t="shared" ref="I28:I29" si="25">ROUND(F28/100*C28,2)</f>
        <v>240020</v>
      </c>
      <c r="J28" s="11"/>
      <c r="K28" s="38"/>
      <c r="L28" s="16">
        <f t="shared" si="0"/>
        <v>144.33930000000001</v>
      </c>
      <c r="M28" s="16">
        <f t="shared" si="1"/>
        <v>18.416080000000001</v>
      </c>
      <c r="N28" s="16">
        <f t="shared" si="2"/>
        <v>42.483539999999998</v>
      </c>
      <c r="O28" s="16">
        <f t="shared" si="3"/>
        <v>205.23892000000001</v>
      </c>
      <c r="P28" s="30">
        <f t="shared" si="4"/>
        <v>157876.09230769999</v>
      </c>
      <c r="Q28" s="30">
        <f t="shared" si="5"/>
        <v>205238.92</v>
      </c>
      <c r="R28" s="30">
        <f t="shared" si="6"/>
        <v>181557.5061539</v>
      </c>
      <c r="S28" s="16">
        <v>619.56521299431461</v>
      </c>
      <c r="T28" s="16">
        <f t="shared" si="7"/>
        <v>824.80413299431461</v>
      </c>
    </row>
    <row r="29" spans="1:20" x14ac:dyDescent="0.2">
      <c r="A29" s="6" t="s">
        <v>123</v>
      </c>
      <c r="B29" s="8">
        <v>10664900</v>
      </c>
      <c r="C29" s="7">
        <v>10254800</v>
      </c>
      <c r="D29" s="21">
        <v>82</v>
      </c>
      <c r="E29" s="21">
        <v>3.4</v>
      </c>
      <c r="F29" s="21">
        <v>14.6</v>
      </c>
      <c r="G29" s="30">
        <f t="shared" si="23"/>
        <v>8408936</v>
      </c>
      <c r="H29" s="30">
        <f t="shared" si="24"/>
        <v>348663.2</v>
      </c>
      <c r="I29" s="30">
        <f t="shared" si="25"/>
        <v>1497200.8</v>
      </c>
      <c r="J29" s="11"/>
      <c r="K29" s="38"/>
      <c r="L29" s="16">
        <f t="shared" si="0"/>
        <v>1589.288904</v>
      </c>
      <c r="M29" s="16">
        <f t="shared" si="1"/>
        <v>73.567935199999994</v>
      </c>
      <c r="N29" s="16">
        <f t="shared" si="2"/>
        <v>265.00454159999998</v>
      </c>
      <c r="O29" s="16">
        <f t="shared" si="3"/>
        <v>1927.8613808</v>
      </c>
      <c r="P29" s="30">
        <f t="shared" si="4"/>
        <v>1482970.2929231001</v>
      </c>
      <c r="Q29" s="30">
        <f t="shared" si="5"/>
        <v>1927861.3807999999</v>
      </c>
      <c r="R29" s="30">
        <f t="shared" si="6"/>
        <v>1705415.8368615999</v>
      </c>
      <c r="S29" s="16">
        <v>5831.9514916708431</v>
      </c>
      <c r="T29" s="16">
        <f t="shared" si="7"/>
        <v>7759.8128724708431</v>
      </c>
    </row>
    <row r="30" spans="1:20" x14ac:dyDescent="0.2">
      <c r="A30" s="6" t="s">
        <v>124</v>
      </c>
      <c r="B30" s="7">
        <v>6760710</v>
      </c>
      <c r="C30" s="7"/>
      <c r="D30" s="22">
        <v>82</v>
      </c>
      <c r="E30" s="23">
        <v>3</v>
      </c>
      <c r="F30" s="23">
        <v>15</v>
      </c>
      <c r="G30" s="30">
        <f>ROUND(D30/100*B30,2)</f>
        <v>5543782.2000000002</v>
      </c>
      <c r="H30" s="30">
        <f>ROUND(E30/100*B30,2)</f>
        <v>202821.3</v>
      </c>
      <c r="I30" s="30">
        <f>ROUND(F30/100*B30,2)</f>
        <v>1014106.5</v>
      </c>
      <c r="J30" s="11"/>
      <c r="K30" s="38"/>
      <c r="L30" s="16">
        <f t="shared" si="0"/>
        <v>1047.7748357999999</v>
      </c>
      <c r="M30" s="16">
        <f t="shared" si="1"/>
        <v>42.795294300000002</v>
      </c>
      <c r="N30" s="16">
        <f t="shared" si="2"/>
        <v>179.49685049999999</v>
      </c>
      <c r="O30" s="16">
        <f t="shared" si="3"/>
        <v>1270.0669806000001</v>
      </c>
      <c r="P30" s="30">
        <f t="shared" si="4"/>
        <v>976974.6004615</v>
      </c>
      <c r="Q30" s="30">
        <f t="shared" si="5"/>
        <v>1270066.9805999999</v>
      </c>
      <c r="R30" s="30">
        <f t="shared" si="6"/>
        <v>1123520.7905307999</v>
      </c>
      <c r="S30" s="16">
        <v>3696.9997627032594</v>
      </c>
      <c r="T30" s="16">
        <f t="shared" si="7"/>
        <v>4967.0667433032595</v>
      </c>
    </row>
    <row r="31" spans="1:20" x14ac:dyDescent="0.2">
      <c r="A31" s="6" t="s">
        <v>127</v>
      </c>
      <c r="B31" s="8">
        <v>5513100</v>
      </c>
      <c r="C31" s="7">
        <v>5110800</v>
      </c>
      <c r="D31" s="21">
        <v>41.5</v>
      </c>
      <c r="E31" s="21">
        <v>16.5</v>
      </c>
      <c r="F31" s="21">
        <v>42</v>
      </c>
      <c r="G31" s="30">
        <f>ROUND(D31/100*C31,2)</f>
        <v>2120982</v>
      </c>
      <c r="H31" s="30">
        <f>ROUND(E31/100*C31,2)</f>
        <v>843282</v>
      </c>
      <c r="I31" s="30">
        <f>ROUND(F31/100*C31,2)</f>
        <v>2146536</v>
      </c>
      <c r="J31" s="11"/>
      <c r="K31" s="38"/>
      <c r="L31" s="16">
        <f t="shared" si="0"/>
        <v>400.86559799999998</v>
      </c>
      <c r="M31" s="16">
        <f t="shared" si="1"/>
        <v>177.932502</v>
      </c>
      <c r="N31" s="16">
        <f t="shared" si="2"/>
        <v>379.93687199999999</v>
      </c>
      <c r="O31" s="16">
        <f t="shared" si="3"/>
        <v>958.73497199999997</v>
      </c>
      <c r="P31" s="30">
        <f t="shared" si="4"/>
        <v>737488.44</v>
      </c>
      <c r="Q31" s="30">
        <f t="shared" si="5"/>
        <v>958734.97199999995</v>
      </c>
      <c r="R31" s="30">
        <f t="shared" si="6"/>
        <v>848111.70600000001</v>
      </c>
      <c r="S31" s="16">
        <v>3014.7616732206143</v>
      </c>
      <c r="T31" s="16">
        <f t="shared" si="7"/>
        <v>3973.4966452206145</v>
      </c>
    </row>
    <row r="32" spans="1:20" x14ac:dyDescent="0.2">
      <c r="A32" s="6" t="s">
        <v>131</v>
      </c>
      <c r="B32" s="7">
        <v>1152180</v>
      </c>
      <c r="C32" s="7"/>
      <c r="D32" s="19">
        <v>50</v>
      </c>
      <c r="E32" s="19">
        <v>10</v>
      </c>
      <c r="F32" s="19">
        <v>40</v>
      </c>
      <c r="G32" s="30">
        <f>ROUND(D32/100*B32,2)</f>
        <v>576090</v>
      </c>
      <c r="H32" s="30">
        <f>ROUND(E32/100*B32,2)</f>
        <v>115218</v>
      </c>
      <c r="I32" s="30">
        <f>ROUND(F32/100*B32,2)</f>
        <v>460872</v>
      </c>
      <c r="J32" s="11"/>
      <c r="K32" s="38"/>
      <c r="L32" s="16">
        <f t="shared" si="0"/>
        <v>108.88101</v>
      </c>
      <c r="M32" s="16">
        <f t="shared" si="1"/>
        <v>24.310998000000001</v>
      </c>
      <c r="N32" s="16">
        <f t="shared" si="2"/>
        <v>81.574343999999996</v>
      </c>
      <c r="O32" s="16">
        <f t="shared" si="3"/>
        <v>214.76635200000001</v>
      </c>
      <c r="P32" s="30">
        <f t="shared" si="4"/>
        <v>165204.88615380001</v>
      </c>
      <c r="Q32" s="30">
        <f t="shared" si="5"/>
        <v>214766.35200000001</v>
      </c>
      <c r="R32" s="30">
        <f t="shared" si="6"/>
        <v>189985.61907690001</v>
      </c>
      <c r="S32" s="16">
        <v>630.05352789743108</v>
      </c>
      <c r="T32" s="16">
        <f t="shared" si="7"/>
        <v>844.81987989743106</v>
      </c>
    </row>
    <row r="33" spans="1:20" x14ac:dyDescent="0.2">
      <c r="A33" s="6" t="s">
        <v>132</v>
      </c>
      <c r="B33" s="8">
        <v>581300</v>
      </c>
      <c r="C33" s="10">
        <v>536100</v>
      </c>
      <c r="D33" s="19">
        <v>9</v>
      </c>
      <c r="E33" s="19">
        <v>30</v>
      </c>
      <c r="F33" s="19">
        <v>60</v>
      </c>
      <c r="G33" s="30">
        <f>ROUND(D33/100*C33,2)</f>
        <v>48249</v>
      </c>
      <c r="H33" s="30">
        <f>ROUND(E33/100*C33,2)</f>
        <v>160830</v>
      </c>
      <c r="I33" s="30">
        <f>ROUND(F33/100*C33,2)</f>
        <v>321660</v>
      </c>
      <c r="J33" s="11"/>
      <c r="K33" s="38"/>
      <c r="L33" s="16">
        <f t="shared" si="0"/>
        <v>9.1190610000000003</v>
      </c>
      <c r="M33" s="16">
        <f t="shared" si="1"/>
        <v>33.935130000000001</v>
      </c>
      <c r="N33" s="16">
        <f t="shared" si="2"/>
        <v>56.933819999999997</v>
      </c>
      <c r="O33" s="16">
        <f t="shared" si="3"/>
        <v>99.988011</v>
      </c>
      <c r="P33" s="30">
        <f t="shared" si="4"/>
        <v>76913.854615400007</v>
      </c>
      <c r="Q33" s="30">
        <f t="shared" si="5"/>
        <v>99988.010999999999</v>
      </c>
      <c r="R33" s="30">
        <f t="shared" si="6"/>
        <v>88450.932807699995</v>
      </c>
      <c r="S33" s="16">
        <v>317.87577962364969</v>
      </c>
      <c r="T33" s="16">
        <f t="shared" si="7"/>
        <v>417.86379062364972</v>
      </c>
    </row>
    <row r="34" spans="1:20" x14ac:dyDescent="0.2">
      <c r="A34" s="6" t="s">
        <v>133</v>
      </c>
      <c r="B34" s="8">
        <v>44560</v>
      </c>
      <c r="C34" s="7"/>
      <c r="D34" s="21"/>
      <c r="E34" s="21"/>
      <c r="F34" s="21"/>
      <c r="G34" s="30"/>
      <c r="H34" s="30"/>
      <c r="I34" s="30"/>
      <c r="J34" s="11"/>
      <c r="K34" s="38"/>
      <c r="L34" s="16"/>
      <c r="M34" s="16"/>
      <c r="N34" s="16"/>
      <c r="O34" s="16"/>
      <c r="P34" s="30"/>
      <c r="Q34" s="30"/>
      <c r="R34" s="30"/>
      <c r="S34" s="16">
        <v>24.367013143006762</v>
      </c>
      <c r="T34" s="16">
        <f t="shared" si="7"/>
        <v>24.367013143006762</v>
      </c>
    </row>
    <row r="35" spans="1:20" x14ac:dyDescent="0.2">
      <c r="A35" s="6" t="s">
        <v>142</v>
      </c>
      <c r="B35" s="8">
        <v>9870000</v>
      </c>
      <c r="C35" s="7">
        <v>7375600</v>
      </c>
      <c r="D35" s="19">
        <v>81</v>
      </c>
      <c r="E35" s="19">
        <v>6</v>
      </c>
      <c r="F35" s="19">
        <v>13</v>
      </c>
      <c r="G35" s="30">
        <f t="shared" ref="G35:G37" si="26">ROUND(D35/100*C35,2)</f>
        <v>5974236</v>
      </c>
      <c r="H35" s="30">
        <f t="shared" ref="H35:H37" si="27">ROUND(E35/100*C35,2)</f>
        <v>442536</v>
      </c>
      <c r="I35" s="30">
        <f t="shared" ref="I35:I37" si="28">ROUND(F35/100*C35,2)</f>
        <v>958828</v>
      </c>
      <c r="J35" s="11"/>
      <c r="K35" s="38"/>
      <c r="L35" s="16">
        <f t="shared" ref="L35:L52" si="29">ROUND(18.9*G35/100000,7)</f>
        <v>1129.1306039999999</v>
      </c>
      <c r="M35" s="16">
        <f t="shared" ref="M35:M52" si="30">ROUND(21.1*H35/100000,7)</f>
        <v>93.375095999999999</v>
      </c>
      <c r="N35" s="16">
        <f t="shared" ref="N35:N52" si="31">ROUND(17.7*I35/100000,7)</f>
        <v>169.71255600000001</v>
      </c>
      <c r="O35" s="16">
        <f t="shared" si="3"/>
        <v>1392.2182560000001</v>
      </c>
      <c r="P35" s="30">
        <f t="shared" ref="P35:P52" si="32">ROUND(O35*100/0.13,7)</f>
        <v>1070937.1200000001</v>
      </c>
      <c r="Q35" s="30">
        <f t="shared" ref="Q35:Q52" si="33">ROUND(O35*100/0.1,7)</f>
        <v>1392218.2560000001</v>
      </c>
      <c r="R35" s="30">
        <f t="shared" ref="R35:R52" si="34">ROUND((P35+Q35)/2,7)</f>
        <v>1231577.6880000001</v>
      </c>
      <c r="S35" s="16">
        <v>5397.2715377351151</v>
      </c>
      <c r="T35" s="16">
        <f t="shared" si="7"/>
        <v>6789.4897937351152</v>
      </c>
    </row>
    <row r="36" spans="1:20" x14ac:dyDescent="0.2">
      <c r="A36" s="6" t="s">
        <v>144</v>
      </c>
      <c r="B36" s="8">
        <v>729000</v>
      </c>
      <c r="C36" s="7">
        <v>385300</v>
      </c>
      <c r="D36" s="19">
        <v>16.3</v>
      </c>
      <c r="E36" s="19">
        <v>22.4</v>
      </c>
      <c r="F36" s="19">
        <v>61.3</v>
      </c>
      <c r="G36" s="30">
        <f t="shared" si="26"/>
        <v>62803.9</v>
      </c>
      <c r="H36" s="30">
        <f t="shared" si="27"/>
        <v>86307.199999999997</v>
      </c>
      <c r="I36" s="30">
        <f t="shared" si="28"/>
        <v>236188.9</v>
      </c>
      <c r="J36" s="11"/>
      <c r="K36" s="38"/>
      <c r="L36" s="16">
        <f t="shared" si="29"/>
        <v>11.8699371</v>
      </c>
      <c r="M36" s="16">
        <f t="shared" si="30"/>
        <v>18.2108192</v>
      </c>
      <c r="N36" s="16">
        <f t="shared" si="31"/>
        <v>41.805435299999999</v>
      </c>
      <c r="O36" s="16">
        <f t="shared" si="3"/>
        <v>71.886191600000004</v>
      </c>
      <c r="P36" s="30">
        <f t="shared" si="32"/>
        <v>55297.0704615</v>
      </c>
      <c r="Q36" s="30">
        <f t="shared" si="33"/>
        <v>71886.191600000006</v>
      </c>
      <c r="R36" s="30">
        <f t="shared" si="34"/>
        <v>63591.631030800003</v>
      </c>
      <c r="S36" s="16">
        <v>398.64346008195525</v>
      </c>
      <c r="T36" s="16">
        <f t="shared" si="7"/>
        <v>470.52965168195527</v>
      </c>
    </row>
    <row r="37" spans="1:20" x14ac:dyDescent="0.2">
      <c r="A37" s="6" t="s">
        <v>152</v>
      </c>
      <c r="B37" s="7">
        <v>5151612</v>
      </c>
      <c r="C37" s="7">
        <v>4015700</v>
      </c>
      <c r="D37" s="19">
        <v>90</v>
      </c>
      <c r="E37" s="19">
        <v>6</v>
      </c>
      <c r="F37" s="19">
        <v>4</v>
      </c>
      <c r="G37" s="30">
        <f t="shared" si="26"/>
        <v>3614130</v>
      </c>
      <c r="H37" s="30">
        <f t="shared" si="27"/>
        <v>240942</v>
      </c>
      <c r="I37" s="30">
        <f t="shared" si="28"/>
        <v>160628</v>
      </c>
      <c r="J37" s="11">
        <v>7</v>
      </c>
      <c r="K37" s="134">
        <v>57</v>
      </c>
      <c r="L37" s="16">
        <f t="shared" si="29"/>
        <v>683.07056999999998</v>
      </c>
      <c r="M37" s="16">
        <f t="shared" si="30"/>
        <v>50.838762000000003</v>
      </c>
      <c r="N37" s="16">
        <f t="shared" si="31"/>
        <v>28.431156000000001</v>
      </c>
      <c r="O37" s="16">
        <f t="shared" si="3"/>
        <v>762.34048800000005</v>
      </c>
      <c r="P37" s="30">
        <f t="shared" si="32"/>
        <v>586415.76</v>
      </c>
      <c r="Q37" s="30">
        <f t="shared" si="33"/>
        <v>762340.48800000001</v>
      </c>
      <c r="R37" s="30">
        <f t="shared" si="34"/>
        <v>674378.12399999995</v>
      </c>
      <c r="S37" s="16">
        <v>2817.0870132780824</v>
      </c>
      <c r="T37" s="16">
        <f t="shared" si="7"/>
        <v>3579.4275012780827</v>
      </c>
    </row>
    <row r="38" spans="1:20" x14ac:dyDescent="0.2">
      <c r="A38" s="6" t="s">
        <v>153</v>
      </c>
      <c r="B38" s="8">
        <v>53830000</v>
      </c>
      <c r="C38" s="7"/>
      <c r="D38" s="19">
        <v>48.6</v>
      </c>
      <c r="E38" s="19">
        <v>8.5</v>
      </c>
      <c r="F38" s="19">
        <v>42.9</v>
      </c>
      <c r="G38" s="30">
        <f>ROUND(D38/100*B38,2)</f>
        <v>26161380</v>
      </c>
      <c r="H38" s="30">
        <f>ROUND(E38/100*B38,2)</f>
        <v>4575550</v>
      </c>
      <c r="I38" s="30">
        <f>ROUND(F38/100*B38,2)</f>
        <v>23093070</v>
      </c>
      <c r="J38" s="11"/>
      <c r="K38" s="38"/>
      <c r="L38" s="16">
        <f t="shared" si="29"/>
        <v>4944.5008200000002</v>
      </c>
      <c r="M38" s="16">
        <f t="shared" si="30"/>
        <v>965.44105000000002</v>
      </c>
      <c r="N38" s="16">
        <f t="shared" si="31"/>
        <v>4087.4733900000001</v>
      </c>
      <c r="O38" s="16">
        <f t="shared" si="3"/>
        <v>9997.4152599999998</v>
      </c>
      <c r="P38" s="30">
        <f t="shared" si="32"/>
        <v>7690319.4307692004</v>
      </c>
      <c r="Q38" s="30">
        <f t="shared" si="33"/>
        <v>9997415.2599999998</v>
      </c>
      <c r="R38" s="30">
        <f t="shared" si="34"/>
        <v>8843867.3453845996</v>
      </c>
      <c r="S38" s="16">
        <v>29436.183067505699</v>
      </c>
      <c r="T38" s="16">
        <f t="shared" si="7"/>
        <v>39433.598327505701</v>
      </c>
    </row>
    <row r="39" spans="1:20" x14ac:dyDescent="0.2">
      <c r="A39" s="6" t="s">
        <v>170</v>
      </c>
      <c r="B39" s="10">
        <v>356800</v>
      </c>
      <c r="C39" s="10">
        <v>237100</v>
      </c>
      <c r="D39" s="29">
        <v>13</v>
      </c>
      <c r="E39" s="29">
        <v>12</v>
      </c>
      <c r="F39" s="29">
        <v>75</v>
      </c>
      <c r="G39" s="30">
        <f>ROUND(D39/100*C39,2)</f>
        <v>30823</v>
      </c>
      <c r="H39" s="30">
        <f>ROUND(E39/100*C39,2)</f>
        <v>28452</v>
      </c>
      <c r="I39" s="30">
        <f>ROUND(F39/100*C39,2)</f>
        <v>177825</v>
      </c>
      <c r="J39" s="11"/>
      <c r="K39" s="38"/>
      <c r="L39" s="16">
        <f t="shared" si="29"/>
        <v>5.8255470000000003</v>
      </c>
      <c r="M39" s="16">
        <f t="shared" si="30"/>
        <v>6.0033719999999997</v>
      </c>
      <c r="N39" s="16">
        <f t="shared" si="31"/>
        <v>31.475024999999999</v>
      </c>
      <c r="O39" s="16">
        <f t="shared" si="3"/>
        <v>43.303944000000001</v>
      </c>
      <c r="P39" s="30">
        <f t="shared" si="32"/>
        <v>33310.726153800002</v>
      </c>
      <c r="Q39" s="30">
        <f t="shared" si="33"/>
        <v>43303.944000000003</v>
      </c>
      <c r="R39" s="30">
        <f t="shared" si="34"/>
        <v>38307.335076900003</v>
      </c>
      <c r="S39" s="16">
        <v>195.1110926711134</v>
      </c>
      <c r="T39" s="16">
        <f t="shared" si="7"/>
        <v>238.4150366711134</v>
      </c>
    </row>
    <row r="40" spans="1:20" x14ac:dyDescent="0.2">
      <c r="A40" s="6" t="s">
        <v>173</v>
      </c>
      <c r="B40" s="8">
        <v>5004800</v>
      </c>
      <c r="C40" s="7"/>
      <c r="D40" s="22">
        <v>93</v>
      </c>
      <c r="E40" s="23">
        <v>3</v>
      </c>
      <c r="F40" s="23">
        <v>4</v>
      </c>
      <c r="G40" s="30">
        <f>ROUND(D40/100*B40,2)</f>
        <v>4654464</v>
      </c>
      <c r="H40" s="30">
        <f>ROUND(E40/100*B40,2)</f>
        <v>150144</v>
      </c>
      <c r="I40" s="30">
        <f>ROUND(F40/100*B40,2)</f>
        <v>200192</v>
      </c>
      <c r="J40" s="11"/>
      <c r="K40" s="38"/>
      <c r="L40" s="16">
        <f t="shared" si="29"/>
        <v>879.69369600000005</v>
      </c>
      <c r="M40" s="16">
        <f t="shared" si="30"/>
        <v>31.680384</v>
      </c>
      <c r="N40" s="16">
        <f t="shared" si="31"/>
        <v>35.433984000000002</v>
      </c>
      <c r="O40" s="16">
        <f t="shared" si="3"/>
        <v>946.80806399999994</v>
      </c>
      <c r="P40" s="30">
        <f t="shared" si="32"/>
        <v>728313.89538460004</v>
      </c>
      <c r="Q40" s="30">
        <f t="shared" si="33"/>
        <v>946808.06400000001</v>
      </c>
      <c r="R40" s="30">
        <f t="shared" si="34"/>
        <v>837560.97969229997</v>
      </c>
      <c r="S40" s="16">
        <v>2736.8049232073663</v>
      </c>
      <c r="T40" s="16">
        <f t="shared" si="7"/>
        <v>3683.6129872073661</v>
      </c>
    </row>
    <row r="41" spans="1:20" x14ac:dyDescent="0.2">
      <c r="A41" s="6" t="s">
        <v>174</v>
      </c>
      <c r="B41" s="8">
        <v>2486</v>
      </c>
      <c r="C41" s="7">
        <v>2100</v>
      </c>
      <c r="D41" s="19">
        <v>6</v>
      </c>
      <c r="E41" s="19">
        <v>48</v>
      </c>
      <c r="F41" s="19">
        <v>46</v>
      </c>
      <c r="G41" s="30">
        <f t="shared" ref="G41:G48" si="35">ROUND(D41/100*C41,2)</f>
        <v>126</v>
      </c>
      <c r="H41" s="30">
        <f t="shared" ref="H41:H48" si="36">ROUND(E41/100*C41,2)</f>
        <v>1008</v>
      </c>
      <c r="I41" s="30">
        <f t="shared" ref="I41:I48" si="37">ROUND(F41/100*C41,2)</f>
        <v>966</v>
      </c>
      <c r="J41" s="11"/>
      <c r="K41" s="38"/>
      <c r="L41" s="16">
        <f t="shared" si="29"/>
        <v>2.3813999999999998E-2</v>
      </c>
      <c r="M41" s="16">
        <f t="shared" si="30"/>
        <v>0.21268799999999999</v>
      </c>
      <c r="N41" s="16">
        <f t="shared" si="31"/>
        <v>0.170982</v>
      </c>
      <c r="O41" s="16">
        <f t="shared" si="3"/>
        <v>0.40748400000000001</v>
      </c>
      <c r="P41" s="30">
        <f t="shared" si="32"/>
        <v>313.44923080000001</v>
      </c>
      <c r="Q41" s="30">
        <f t="shared" si="33"/>
        <v>407.48399999999998</v>
      </c>
      <c r="R41" s="30">
        <f t="shared" si="34"/>
        <v>360.46661540000002</v>
      </c>
      <c r="S41" s="16">
        <v>1.3594343508418942</v>
      </c>
      <c r="T41" s="16">
        <f t="shared" si="7"/>
        <v>1.7669183508418942</v>
      </c>
    </row>
    <row r="42" spans="1:20" x14ac:dyDescent="0.2">
      <c r="A42" s="6" t="s">
        <v>181</v>
      </c>
      <c r="B42" s="10">
        <v>61848</v>
      </c>
      <c r="C42" s="10">
        <v>44400</v>
      </c>
      <c r="D42" s="22">
        <v>54</v>
      </c>
      <c r="E42" s="23">
        <v>6</v>
      </c>
      <c r="F42" s="23">
        <v>40</v>
      </c>
      <c r="G42" s="30">
        <f t="shared" si="35"/>
        <v>23976</v>
      </c>
      <c r="H42" s="30">
        <f t="shared" si="36"/>
        <v>2664</v>
      </c>
      <c r="I42" s="30">
        <f t="shared" si="37"/>
        <v>17760</v>
      </c>
      <c r="J42" s="11"/>
      <c r="K42" s="38"/>
      <c r="L42" s="16">
        <f t="shared" si="29"/>
        <v>4.5314639999999997</v>
      </c>
      <c r="M42" s="16">
        <f t="shared" si="30"/>
        <v>0.56210400000000005</v>
      </c>
      <c r="N42" s="16">
        <f t="shared" si="31"/>
        <v>3.1435200000000001</v>
      </c>
      <c r="O42" s="16">
        <f t="shared" si="3"/>
        <v>8.237088</v>
      </c>
      <c r="P42" s="30">
        <f t="shared" si="32"/>
        <v>6336.2215385</v>
      </c>
      <c r="Q42" s="30">
        <f t="shared" si="33"/>
        <v>8237.0879999999997</v>
      </c>
      <c r="R42" s="30">
        <f t="shared" si="34"/>
        <v>7286.6547693000002</v>
      </c>
      <c r="S42" s="16">
        <v>33.820714292385148</v>
      </c>
      <c r="T42" s="16">
        <f t="shared" si="7"/>
        <v>42.057802292385148</v>
      </c>
    </row>
    <row r="43" spans="1:20" x14ac:dyDescent="0.2">
      <c r="A43" s="6" t="s">
        <v>183</v>
      </c>
      <c r="B43" s="9">
        <v>5613359</v>
      </c>
      <c r="C43" s="9">
        <v>3152900</v>
      </c>
      <c r="D43" s="21">
        <v>39.799999999999997</v>
      </c>
      <c r="E43" s="21">
        <v>17.5</v>
      </c>
      <c r="F43" s="21">
        <v>42.6</v>
      </c>
      <c r="G43" s="30">
        <f t="shared" si="35"/>
        <v>1254854.2</v>
      </c>
      <c r="H43" s="30">
        <f t="shared" si="36"/>
        <v>551757.5</v>
      </c>
      <c r="I43" s="30">
        <f t="shared" si="37"/>
        <v>1343135.4</v>
      </c>
      <c r="J43" s="11"/>
      <c r="K43" s="38"/>
      <c r="L43" s="16">
        <f t="shared" si="29"/>
        <v>237.1674438</v>
      </c>
      <c r="M43" s="16">
        <f t="shared" si="30"/>
        <v>116.4208325</v>
      </c>
      <c r="N43" s="16">
        <f t="shared" si="31"/>
        <v>237.7349658</v>
      </c>
      <c r="O43" s="16">
        <f t="shared" si="3"/>
        <v>591.32324210000002</v>
      </c>
      <c r="P43" s="30">
        <f t="shared" si="32"/>
        <v>454864.03238460002</v>
      </c>
      <c r="Q43" s="30">
        <f t="shared" si="33"/>
        <v>591323.24210000003</v>
      </c>
      <c r="R43" s="30">
        <f t="shared" si="34"/>
        <v>523093.63724230003</v>
      </c>
      <c r="S43" s="16">
        <v>3069.586905956357</v>
      </c>
      <c r="T43" s="16">
        <f t="shared" si="7"/>
        <v>3660.9101480563568</v>
      </c>
    </row>
    <row r="44" spans="1:20" x14ac:dyDescent="0.2">
      <c r="A44" s="6" t="s">
        <v>185</v>
      </c>
      <c r="B44" s="8">
        <v>41700</v>
      </c>
      <c r="C44" s="7">
        <v>39600</v>
      </c>
      <c r="D44" s="19">
        <v>3</v>
      </c>
      <c r="E44" s="19">
        <v>23</v>
      </c>
      <c r="F44" s="19">
        <v>74</v>
      </c>
      <c r="G44" s="30">
        <f t="shared" si="35"/>
        <v>1188</v>
      </c>
      <c r="H44" s="30">
        <f t="shared" si="36"/>
        <v>9108</v>
      </c>
      <c r="I44" s="30">
        <f t="shared" si="37"/>
        <v>29304</v>
      </c>
      <c r="J44" s="11"/>
      <c r="K44" s="38"/>
      <c r="L44" s="16">
        <f t="shared" si="29"/>
        <v>0.22453200000000001</v>
      </c>
      <c r="M44" s="16">
        <f t="shared" si="30"/>
        <v>1.9217880000000001</v>
      </c>
      <c r="N44" s="16">
        <f t="shared" si="31"/>
        <v>5.1868080000000001</v>
      </c>
      <c r="O44" s="16">
        <f t="shared" si="3"/>
        <v>7.3331280000000003</v>
      </c>
      <c r="P44" s="30">
        <f t="shared" si="32"/>
        <v>5640.8676923000003</v>
      </c>
      <c r="Q44" s="30">
        <f t="shared" si="33"/>
        <v>7333.1279999999997</v>
      </c>
      <c r="R44" s="30">
        <f t="shared" si="34"/>
        <v>6486.9978461999999</v>
      </c>
      <c r="S44" s="16">
        <v>22.803062119914319</v>
      </c>
      <c r="T44" s="16">
        <f t="shared" si="7"/>
        <v>30.136190119914318</v>
      </c>
    </row>
    <row r="45" spans="1:20" x14ac:dyDescent="0.2">
      <c r="A45" s="6" t="s">
        <v>186</v>
      </c>
      <c r="B45" s="7">
        <v>1921700</v>
      </c>
      <c r="C45" s="7">
        <v>1900600</v>
      </c>
      <c r="D45" s="21">
        <v>68.5</v>
      </c>
      <c r="E45" s="21">
        <v>6.5</v>
      </c>
      <c r="F45" s="21">
        <v>25</v>
      </c>
      <c r="G45" s="30">
        <f t="shared" si="35"/>
        <v>1301911</v>
      </c>
      <c r="H45" s="30">
        <f t="shared" si="36"/>
        <v>123539</v>
      </c>
      <c r="I45" s="30">
        <f t="shared" si="37"/>
        <v>475150</v>
      </c>
      <c r="J45" s="11"/>
      <c r="K45" s="38"/>
      <c r="L45" s="16">
        <f t="shared" si="29"/>
        <v>246.06117900000001</v>
      </c>
      <c r="M45" s="16">
        <f t="shared" si="30"/>
        <v>26.066728999999999</v>
      </c>
      <c r="N45" s="16">
        <f t="shared" si="31"/>
        <v>84.101550000000003</v>
      </c>
      <c r="O45" s="16">
        <f t="shared" si="3"/>
        <v>356.22945800000002</v>
      </c>
      <c r="P45" s="30">
        <f t="shared" si="32"/>
        <v>274022.65999999997</v>
      </c>
      <c r="Q45" s="30">
        <f t="shared" si="33"/>
        <v>356229.45799999998</v>
      </c>
      <c r="R45" s="30">
        <f t="shared" si="34"/>
        <v>315126.05900000001</v>
      </c>
      <c r="S45" s="16">
        <v>1050.8547835932695</v>
      </c>
      <c r="T45" s="16">
        <f t="shared" si="7"/>
        <v>1407.0842415932696</v>
      </c>
    </row>
    <row r="46" spans="1:20" x14ac:dyDescent="0.2">
      <c r="A46" s="6" t="s">
        <v>192</v>
      </c>
      <c r="B46" s="8">
        <v>17393000</v>
      </c>
      <c r="C46" s="9">
        <v>13061000</v>
      </c>
      <c r="D46" s="19">
        <v>5.7</v>
      </c>
      <c r="E46" s="19">
        <v>25.7</v>
      </c>
      <c r="F46" s="19">
        <v>68.599999999999994</v>
      </c>
      <c r="G46" s="30">
        <f t="shared" si="35"/>
        <v>744477</v>
      </c>
      <c r="H46" s="30">
        <f t="shared" si="36"/>
        <v>3356677</v>
      </c>
      <c r="I46" s="30">
        <f t="shared" si="37"/>
        <v>8959846</v>
      </c>
      <c r="J46" s="11">
        <v>185</v>
      </c>
      <c r="K46" s="134">
        <v>17268</v>
      </c>
      <c r="L46" s="16">
        <f t="shared" si="29"/>
        <v>140.706153</v>
      </c>
      <c r="M46" s="16">
        <f t="shared" si="30"/>
        <v>708.25884699999995</v>
      </c>
      <c r="N46" s="16">
        <f t="shared" si="31"/>
        <v>1585.892742</v>
      </c>
      <c r="O46" s="16">
        <f t="shared" si="3"/>
        <v>2434.8577420000001</v>
      </c>
      <c r="P46" s="30">
        <f t="shared" si="32"/>
        <v>1872967.4938461999</v>
      </c>
      <c r="Q46" s="30">
        <f t="shared" si="33"/>
        <v>2434857.7420000001</v>
      </c>
      <c r="R46" s="30">
        <f t="shared" si="34"/>
        <v>2153912.6179231</v>
      </c>
      <c r="S46" s="16">
        <v>9511.1189316947166</v>
      </c>
      <c r="T46" s="16">
        <f t="shared" si="7"/>
        <v>11945.976673694717</v>
      </c>
    </row>
    <row r="47" spans="1:20" x14ac:dyDescent="0.2">
      <c r="A47" s="6" t="s">
        <v>197</v>
      </c>
      <c r="B47" s="7">
        <v>413019</v>
      </c>
      <c r="C47" s="7">
        <v>222771</v>
      </c>
      <c r="D47" s="22">
        <v>74</v>
      </c>
      <c r="E47" s="23">
        <v>9</v>
      </c>
      <c r="F47" s="23">
        <v>17</v>
      </c>
      <c r="G47" s="30">
        <f t="shared" si="35"/>
        <v>164850.54</v>
      </c>
      <c r="H47" s="30">
        <f t="shared" si="36"/>
        <v>20049.39</v>
      </c>
      <c r="I47" s="30">
        <f t="shared" si="37"/>
        <v>37871.07</v>
      </c>
      <c r="J47" s="11"/>
      <c r="K47" s="38"/>
      <c r="L47" s="16">
        <f t="shared" si="29"/>
        <v>31.156752099999999</v>
      </c>
      <c r="M47" s="16">
        <f t="shared" si="30"/>
        <v>4.2304212999999997</v>
      </c>
      <c r="N47" s="16">
        <f t="shared" si="31"/>
        <v>6.7031793999999998</v>
      </c>
      <c r="O47" s="16">
        <f t="shared" si="3"/>
        <v>42.090352799999998</v>
      </c>
      <c r="P47" s="30">
        <f t="shared" si="32"/>
        <v>32377.194461499999</v>
      </c>
      <c r="Q47" s="30">
        <f t="shared" si="33"/>
        <v>42090.352800000001</v>
      </c>
      <c r="R47" s="30">
        <f t="shared" si="34"/>
        <v>37233.773630800002</v>
      </c>
      <c r="S47" s="16">
        <v>225.85366699532113</v>
      </c>
      <c r="T47" s="16">
        <f t="shared" si="7"/>
        <v>267.94401979532114</v>
      </c>
    </row>
    <row r="48" spans="1:20" x14ac:dyDescent="0.2">
      <c r="A48" s="6" t="s">
        <v>203</v>
      </c>
      <c r="B48" s="8">
        <v>21860000</v>
      </c>
      <c r="C48" s="9">
        <v>17944600</v>
      </c>
      <c r="D48" s="21">
        <v>74.599999999999994</v>
      </c>
      <c r="E48" s="21">
        <v>5</v>
      </c>
      <c r="F48" s="21">
        <v>20.3</v>
      </c>
      <c r="G48" s="30">
        <f t="shared" si="35"/>
        <v>13386671.6</v>
      </c>
      <c r="H48" s="30">
        <f t="shared" si="36"/>
        <v>897230</v>
      </c>
      <c r="I48" s="30">
        <f t="shared" si="37"/>
        <v>3642753.8</v>
      </c>
      <c r="J48" s="16"/>
      <c r="K48" s="38"/>
      <c r="L48" s="16">
        <f t="shared" si="29"/>
        <v>2530.0809324000002</v>
      </c>
      <c r="M48" s="16">
        <f t="shared" si="30"/>
        <v>189.31553</v>
      </c>
      <c r="N48" s="16">
        <f t="shared" si="31"/>
        <v>644.76742260000003</v>
      </c>
      <c r="O48" s="16">
        <f t="shared" si="3"/>
        <v>3364.1638849999999</v>
      </c>
      <c r="P48" s="30">
        <f t="shared" si="32"/>
        <v>2587818.3730768999</v>
      </c>
      <c r="Q48" s="30">
        <f t="shared" si="33"/>
        <v>3364163.8849999998</v>
      </c>
      <c r="R48" s="30">
        <f t="shared" si="34"/>
        <v>2975991.1290385001</v>
      </c>
      <c r="S48" s="16">
        <v>11953.835442238056</v>
      </c>
      <c r="T48" s="16">
        <f t="shared" si="7"/>
        <v>15317.999327238056</v>
      </c>
    </row>
    <row r="49" spans="1:20" x14ac:dyDescent="0.2">
      <c r="A49" s="6" t="s">
        <v>206</v>
      </c>
      <c r="B49" s="7">
        <v>2951739</v>
      </c>
      <c r="C49" s="7"/>
      <c r="D49" s="19">
        <v>65</v>
      </c>
      <c r="E49" s="19">
        <v>5</v>
      </c>
      <c r="F49" s="19">
        <v>30</v>
      </c>
      <c r="G49" s="30">
        <f>ROUND(D49/100*B49,2)</f>
        <v>1918630.35</v>
      </c>
      <c r="H49" s="30">
        <f>ROUND(E49/100*B49,2)</f>
        <v>147586.95000000001</v>
      </c>
      <c r="I49" s="30">
        <f>ROUND(F49/100*B49,2)</f>
        <v>885521.7</v>
      </c>
      <c r="J49" s="16"/>
      <c r="K49" s="38"/>
      <c r="L49" s="16">
        <f t="shared" si="29"/>
        <v>362.62113620000002</v>
      </c>
      <c r="M49" s="16">
        <f t="shared" si="30"/>
        <v>31.140846499999999</v>
      </c>
      <c r="N49" s="16">
        <f t="shared" si="31"/>
        <v>156.73734089999999</v>
      </c>
      <c r="O49" s="16">
        <f t="shared" si="3"/>
        <v>550.49932360000003</v>
      </c>
      <c r="P49" s="30">
        <f t="shared" si="32"/>
        <v>423461.01815379999</v>
      </c>
      <c r="Q49" s="30">
        <f t="shared" si="33"/>
        <v>550499.3236</v>
      </c>
      <c r="R49" s="30">
        <f t="shared" si="34"/>
        <v>486980.17087690003</v>
      </c>
      <c r="S49" s="16">
        <v>1614.1172129202341</v>
      </c>
      <c r="T49" s="16">
        <f t="shared" si="7"/>
        <v>2164.6165365202341</v>
      </c>
    </row>
    <row r="50" spans="1:20" x14ac:dyDescent="0.2">
      <c r="A50" s="6" t="s">
        <v>215</v>
      </c>
      <c r="B50" s="8">
        <v>15510000</v>
      </c>
      <c r="C50" s="7">
        <v>9260000</v>
      </c>
      <c r="D50" s="19">
        <v>68.7</v>
      </c>
      <c r="E50" s="19">
        <v>7.8</v>
      </c>
      <c r="F50" s="19">
        <v>23.5</v>
      </c>
      <c r="G50" s="30">
        <f t="shared" ref="G50:G51" si="38">ROUND(D50/100*C50,2)</f>
        <v>6361620</v>
      </c>
      <c r="H50" s="30">
        <f t="shared" ref="H50:H51" si="39">ROUND(E50/100*C50,2)</f>
        <v>722280</v>
      </c>
      <c r="I50" s="30">
        <f t="shared" ref="I50:I51" si="40">ROUND(F50/100*C50,2)</f>
        <v>2176100</v>
      </c>
      <c r="J50" s="16"/>
      <c r="K50" s="38"/>
      <c r="L50" s="16">
        <f t="shared" si="29"/>
        <v>1202.34618</v>
      </c>
      <c r="M50" s="16">
        <f t="shared" si="30"/>
        <v>152.40108000000001</v>
      </c>
      <c r="N50" s="16">
        <f t="shared" si="31"/>
        <v>385.16969999999998</v>
      </c>
      <c r="O50" s="16">
        <f t="shared" si="3"/>
        <v>1739.91696</v>
      </c>
      <c r="P50" s="30">
        <f t="shared" si="32"/>
        <v>1338397.6615385001</v>
      </c>
      <c r="Q50" s="30">
        <f t="shared" si="33"/>
        <v>1739916.96</v>
      </c>
      <c r="R50" s="30">
        <f t="shared" si="34"/>
        <v>1539157.3107693</v>
      </c>
      <c r="S50" s="16">
        <v>8481.4267021551805</v>
      </c>
      <c r="T50" s="16">
        <f t="shared" si="7"/>
        <v>10221.343662155181</v>
      </c>
    </row>
    <row r="51" spans="1:20" x14ac:dyDescent="0.2">
      <c r="A51" s="6" t="s">
        <v>229</v>
      </c>
      <c r="B51" s="8">
        <v>5234000</v>
      </c>
      <c r="C51" s="7">
        <v>4544000</v>
      </c>
      <c r="D51" s="19">
        <v>85</v>
      </c>
      <c r="E51" s="19">
        <v>6</v>
      </c>
      <c r="F51" s="19">
        <v>9</v>
      </c>
      <c r="G51" s="30">
        <f t="shared" si="38"/>
        <v>3862400</v>
      </c>
      <c r="H51" s="30">
        <f t="shared" si="39"/>
        <v>272640</v>
      </c>
      <c r="I51" s="30">
        <f t="shared" si="40"/>
        <v>408960</v>
      </c>
      <c r="J51" s="16"/>
      <c r="K51" s="16"/>
      <c r="L51" s="16">
        <f t="shared" si="29"/>
        <v>729.99360000000001</v>
      </c>
      <c r="M51" s="16">
        <f t="shared" si="30"/>
        <v>57.52704</v>
      </c>
      <c r="N51" s="16">
        <f t="shared" si="31"/>
        <v>72.385919999999999</v>
      </c>
      <c r="O51" s="16">
        <f t="shared" si="3"/>
        <v>859.90656000000001</v>
      </c>
      <c r="P51" s="30">
        <f t="shared" si="32"/>
        <v>661466.58461539994</v>
      </c>
      <c r="Q51" s="30">
        <f t="shared" si="33"/>
        <v>859906.56000000006</v>
      </c>
      <c r="R51" s="30">
        <f t="shared" si="34"/>
        <v>760686.57230769994</v>
      </c>
      <c r="S51" s="16">
        <v>2862.139739463586</v>
      </c>
      <c r="T51" s="16">
        <f t="shared" si="7"/>
        <v>3722.0462994635859</v>
      </c>
    </row>
    <row r="52" spans="1:20" x14ac:dyDescent="0.2">
      <c r="A52" s="6" t="s">
        <v>230</v>
      </c>
      <c r="B52" s="8">
        <v>3848000</v>
      </c>
      <c r="C52" s="7"/>
      <c r="D52" s="19">
        <v>66</v>
      </c>
      <c r="E52" s="19">
        <v>10</v>
      </c>
      <c r="F52" s="19">
        <v>24</v>
      </c>
      <c r="G52" s="30">
        <f>ROUND(D52/100*B52,2)</f>
        <v>2539680</v>
      </c>
      <c r="H52" s="30">
        <f>ROUND(E52/100*B52,2)</f>
        <v>384800</v>
      </c>
      <c r="I52" s="30">
        <f>ROUND(F52/100*B52,2)</f>
        <v>923520</v>
      </c>
      <c r="J52" s="16"/>
      <c r="K52" s="16"/>
      <c r="L52" s="16">
        <f t="shared" si="29"/>
        <v>479.99952000000002</v>
      </c>
      <c r="M52" s="16">
        <f t="shared" si="30"/>
        <v>81.192800000000005</v>
      </c>
      <c r="N52" s="16">
        <f t="shared" si="31"/>
        <v>163.46304000000001</v>
      </c>
      <c r="O52" s="16">
        <f t="shared" si="3"/>
        <v>724.65535999999997</v>
      </c>
      <c r="P52" s="30">
        <f t="shared" si="32"/>
        <v>557427.19999999995</v>
      </c>
      <c r="Q52" s="30">
        <f t="shared" si="33"/>
        <v>724655.36</v>
      </c>
      <c r="R52" s="30">
        <f t="shared" si="34"/>
        <v>641041.28</v>
      </c>
      <c r="S52" s="16">
        <v>2104.2250128880169</v>
      </c>
      <c r="T52" s="16">
        <f t="shared" si="7"/>
        <v>2828.8803728880166</v>
      </c>
    </row>
    <row r="53" spans="1:20" s="5" customFormat="1" x14ac:dyDescent="0.2">
      <c r="A53" s="5" t="s">
        <v>231</v>
      </c>
      <c r="B53" s="31">
        <f>SUM(B4:B52)</f>
        <v>341142486</v>
      </c>
      <c r="C53" s="31">
        <f>SUM(C4:C52)</f>
        <v>106677471</v>
      </c>
      <c r="D53" s="32"/>
      <c r="E53" s="32"/>
      <c r="F53" s="32"/>
      <c r="G53" s="33">
        <f>ROUND(SUM(G4:G52),2)</f>
        <v>209715493.93000001</v>
      </c>
      <c r="H53" s="33">
        <f>ROUND(SUM(H4:H52),2)</f>
        <v>29131042.530000001</v>
      </c>
      <c r="I53" s="33">
        <f>ROUND(SUM(I4:I52),2)</f>
        <v>76374684.040000007</v>
      </c>
      <c r="J53" s="31">
        <f>SUM(J7:J52)</f>
        <v>263</v>
      </c>
      <c r="K53" s="31">
        <f>SUM(K7:K52)</f>
        <v>24024</v>
      </c>
      <c r="L53" s="31">
        <f t="shared" ref="L53:R53" si="41">ROUND(SUM(L4:L52),7)</f>
        <v>39636.228352799997</v>
      </c>
      <c r="M53" s="31">
        <f t="shared" si="41"/>
        <v>6146.6499739999999</v>
      </c>
      <c r="N53" s="31">
        <f t="shared" si="41"/>
        <v>13518.319074999999</v>
      </c>
      <c r="O53" s="31">
        <f t="shared" si="41"/>
        <v>59301.197401799996</v>
      </c>
      <c r="P53" s="33">
        <f t="shared" si="41"/>
        <v>45616305.693692498</v>
      </c>
      <c r="Q53" s="33">
        <f t="shared" si="41"/>
        <v>59301197.401799999</v>
      </c>
      <c r="R53" s="33">
        <f t="shared" si="41"/>
        <v>52458751.547747403</v>
      </c>
      <c r="S53" s="31">
        <v>186549</v>
      </c>
      <c r="T53" s="31">
        <f t="shared" si="7"/>
        <v>245850.19740179999</v>
      </c>
    </row>
    <row r="54" spans="1:20" x14ac:dyDescent="0.2">
      <c r="G54" s="20"/>
      <c r="H54" s="20"/>
      <c r="I54" s="20"/>
      <c r="N54" s="16"/>
    </row>
    <row r="55" spans="1:20" x14ac:dyDescent="0.2">
      <c r="G55" s="20"/>
      <c r="H55" s="20"/>
      <c r="I55" s="20"/>
    </row>
    <row r="56" spans="1:20" x14ac:dyDescent="0.2">
      <c r="G56" s="20"/>
      <c r="H56" s="20"/>
      <c r="I56" s="20"/>
    </row>
    <row r="57" spans="1:20" x14ac:dyDescent="0.2">
      <c r="G57" s="20"/>
      <c r="H57" s="20"/>
      <c r="I57" s="20"/>
    </row>
    <row r="58" spans="1:20" x14ac:dyDescent="0.2">
      <c r="G58" s="20"/>
      <c r="H58" s="20"/>
      <c r="I58" s="20"/>
    </row>
    <row r="59" spans="1:20" x14ac:dyDescent="0.2">
      <c r="G59" s="20"/>
      <c r="H59" s="20"/>
      <c r="I59" s="20"/>
    </row>
    <row r="60" spans="1:20" x14ac:dyDescent="0.2">
      <c r="G60" s="20"/>
      <c r="H60" s="20"/>
      <c r="I60" s="20"/>
    </row>
    <row r="61" spans="1:20" x14ac:dyDescent="0.2">
      <c r="D61" s="1"/>
      <c r="E61" s="1"/>
      <c r="F61" s="1"/>
      <c r="G61" s="20"/>
      <c r="H61" s="20"/>
      <c r="I61" s="20"/>
    </row>
    <row r="62" spans="1:20" x14ac:dyDescent="0.2">
      <c r="D62" s="1"/>
      <c r="E62" s="1"/>
      <c r="F62" s="1"/>
      <c r="G62" s="20"/>
      <c r="H62" s="20"/>
      <c r="I62" s="20"/>
    </row>
    <row r="63" spans="1:20" x14ac:dyDescent="0.2">
      <c r="D63" s="1"/>
      <c r="E63" s="1"/>
      <c r="F63" s="1"/>
      <c r="G63" s="20"/>
      <c r="H63" s="20"/>
      <c r="I63" s="20"/>
    </row>
    <row r="64" spans="1:20" x14ac:dyDescent="0.2">
      <c r="D64" s="1"/>
      <c r="E64" s="1"/>
      <c r="F64" s="1"/>
      <c r="G64" s="20"/>
      <c r="H64" s="20"/>
      <c r="I64" s="20"/>
    </row>
    <row r="65" spans="4:9" x14ac:dyDescent="0.2">
      <c r="D65" s="1"/>
      <c r="E65" s="1"/>
      <c r="F65" s="1"/>
      <c r="G65" s="20"/>
      <c r="H65" s="20"/>
      <c r="I65" s="20"/>
    </row>
    <row r="66" spans="4:9" x14ac:dyDescent="0.2">
      <c r="D66" s="1"/>
      <c r="E66" s="1"/>
      <c r="F66" s="1"/>
      <c r="G66" s="20"/>
      <c r="H66" s="20"/>
      <c r="I66" s="20"/>
    </row>
    <row r="67" spans="4:9" x14ac:dyDescent="0.2">
      <c r="D67" s="1"/>
      <c r="E67" s="1"/>
      <c r="F67" s="1"/>
      <c r="G67" s="20"/>
      <c r="H67" s="20"/>
      <c r="I67" s="20"/>
    </row>
    <row r="68" spans="4:9" x14ac:dyDescent="0.2">
      <c r="D68" s="1"/>
      <c r="E68" s="1"/>
      <c r="F68" s="1"/>
      <c r="G68" s="20"/>
      <c r="H68" s="20"/>
      <c r="I68" s="20"/>
    </row>
    <row r="69" spans="4:9" x14ac:dyDescent="0.2">
      <c r="D69" s="1"/>
      <c r="E69" s="1"/>
      <c r="F69" s="1"/>
      <c r="G69" s="20"/>
      <c r="H69" s="20"/>
      <c r="I69" s="20"/>
    </row>
    <row r="70" spans="4:9" x14ac:dyDescent="0.2">
      <c r="D70" s="1"/>
      <c r="E70" s="1"/>
      <c r="F70" s="1"/>
      <c r="G70" s="20"/>
      <c r="H70" s="20"/>
      <c r="I70" s="20"/>
    </row>
    <row r="71" spans="4:9" x14ac:dyDescent="0.2">
      <c r="D71" s="1"/>
      <c r="E71" s="1"/>
      <c r="F71" s="1"/>
      <c r="G71" s="20"/>
      <c r="H71" s="20"/>
      <c r="I71" s="20"/>
    </row>
    <row r="72" spans="4:9" x14ac:dyDescent="0.2">
      <c r="D72" s="1"/>
      <c r="E72" s="1"/>
      <c r="F72" s="1"/>
      <c r="G72" s="20"/>
      <c r="H72" s="20"/>
      <c r="I72" s="20"/>
    </row>
    <row r="73" spans="4:9" x14ac:dyDescent="0.2">
      <c r="D73" s="1"/>
      <c r="E73" s="1"/>
      <c r="F73" s="1"/>
      <c r="G73" s="20"/>
      <c r="H73" s="20"/>
      <c r="I73" s="20"/>
    </row>
    <row r="74" spans="4:9" x14ac:dyDescent="0.2">
      <c r="D74" s="1"/>
      <c r="E74" s="1"/>
      <c r="F74" s="1"/>
      <c r="G74" s="20"/>
      <c r="H74" s="20"/>
      <c r="I74" s="20"/>
    </row>
    <row r="75" spans="4:9" x14ac:dyDescent="0.2">
      <c r="D75" s="1"/>
      <c r="E75" s="1"/>
      <c r="F75" s="1"/>
      <c r="G75" s="20"/>
      <c r="H75" s="20"/>
      <c r="I75" s="20"/>
    </row>
    <row r="76" spans="4:9" x14ac:dyDescent="0.2">
      <c r="D76" s="1"/>
      <c r="E76" s="1"/>
      <c r="F76" s="1"/>
      <c r="G76" s="20"/>
      <c r="H76" s="20"/>
      <c r="I76" s="20"/>
    </row>
    <row r="77" spans="4:9" x14ac:dyDescent="0.2">
      <c r="D77" s="1"/>
      <c r="E77" s="1"/>
      <c r="F77" s="1"/>
      <c r="G77" s="20"/>
      <c r="H77" s="20"/>
      <c r="I77" s="20"/>
    </row>
    <row r="78" spans="4:9" x14ac:dyDescent="0.2">
      <c r="D78" s="1"/>
      <c r="E78" s="1"/>
      <c r="F78" s="1"/>
      <c r="G78" s="20"/>
      <c r="H78" s="20"/>
      <c r="I78" s="20"/>
    </row>
    <row r="79" spans="4:9" x14ac:dyDescent="0.2">
      <c r="D79" s="1"/>
      <c r="E79" s="1"/>
      <c r="F79" s="1"/>
      <c r="G79" s="20"/>
      <c r="H79" s="20"/>
      <c r="I79" s="20"/>
    </row>
    <row r="80" spans="4:9" x14ac:dyDescent="0.2">
      <c r="D80" s="1"/>
      <c r="E80" s="1"/>
      <c r="F80" s="1"/>
      <c r="G80" s="20"/>
      <c r="H80" s="20"/>
      <c r="I80" s="20"/>
    </row>
    <row r="81" spans="4:9" x14ac:dyDescent="0.2">
      <c r="D81" s="1"/>
      <c r="E81" s="1"/>
      <c r="F81" s="1"/>
      <c r="G81" s="20"/>
      <c r="H81" s="20"/>
      <c r="I81" s="20"/>
    </row>
    <row r="82" spans="4:9" x14ac:dyDescent="0.2">
      <c r="D82" s="1"/>
      <c r="E82" s="1"/>
      <c r="F82" s="1"/>
      <c r="G82" s="20"/>
      <c r="H82" s="20"/>
      <c r="I82" s="20"/>
    </row>
    <row r="83" spans="4:9" x14ac:dyDescent="0.2">
      <c r="D83" s="1"/>
      <c r="E83" s="1"/>
      <c r="F83" s="1"/>
      <c r="G83" s="20"/>
      <c r="H83" s="20"/>
      <c r="I83" s="20"/>
    </row>
    <row r="84" spans="4:9" x14ac:dyDescent="0.2">
      <c r="D84" s="1"/>
      <c r="E84" s="1"/>
      <c r="F84" s="1"/>
      <c r="G84" s="20"/>
      <c r="H84" s="20"/>
      <c r="I84" s="20"/>
    </row>
    <row r="85" spans="4:9" x14ac:dyDescent="0.2">
      <c r="D85" s="1"/>
      <c r="E85" s="1"/>
      <c r="F85" s="1"/>
      <c r="G85" s="20"/>
      <c r="H85" s="20"/>
      <c r="I85" s="20"/>
    </row>
    <row r="86" spans="4:9" x14ac:dyDescent="0.2">
      <c r="D86" s="1"/>
      <c r="E86" s="1"/>
      <c r="F86" s="1"/>
      <c r="G86" s="20"/>
      <c r="H86" s="20"/>
      <c r="I86" s="20"/>
    </row>
    <row r="87" spans="4:9" x14ac:dyDescent="0.2">
      <c r="D87" s="1"/>
      <c r="E87" s="1"/>
      <c r="F87" s="1"/>
      <c r="G87" s="20"/>
      <c r="H87" s="20"/>
      <c r="I87" s="20"/>
    </row>
    <row r="88" spans="4:9" x14ac:dyDescent="0.2">
      <c r="D88" s="1"/>
      <c r="E88" s="1"/>
      <c r="F88" s="1"/>
      <c r="G88" s="20"/>
      <c r="H88" s="20"/>
      <c r="I88" s="20"/>
    </row>
    <row r="89" spans="4:9" x14ac:dyDescent="0.2">
      <c r="D89" s="1"/>
      <c r="E89" s="1"/>
      <c r="F89" s="1"/>
      <c r="G89" s="20"/>
      <c r="H89" s="20"/>
      <c r="I89" s="20"/>
    </row>
    <row r="90" spans="4:9" x14ac:dyDescent="0.2">
      <c r="D90" s="1"/>
      <c r="E90" s="1"/>
      <c r="F90" s="1"/>
      <c r="G90" s="20"/>
      <c r="H90" s="20"/>
      <c r="I90" s="20"/>
    </row>
    <row r="91" spans="4:9" x14ac:dyDescent="0.2">
      <c r="D91" s="1"/>
      <c r="E91" s="1"/>
      <c r="F91" s="1"/>
      <c r="G91" s="20"/>
      <c r="H91" s="20"/>
      <c r="I91" s="20"/>
    </row>
    <row r="92" spans="4:9" x14ac:dyDescent="0.2">
      <c r="D92" s="1"/>
      <c r="E92" s="1"/>
      <c r="F92" s="1"/>
      <c r="G92" s="20"/>
      <c r="H92" s="20"/>
      <c r="I92" s="20"/>
    </row>
    <row r="93" spans="4:9" x14ac:dyDescent="0.2">
      <c r="D93" s="1"/>
      <c r="E93" s="1"/>
      <c r="F93" s="1"/>
      <c r="G93" s="20"/>
      <c r="H93" s="20"/>
      <c r="I93" s="20"/>
    </row>
    <row r="94" spans="4:9" x14ac:dyDescent="0.2">
      <c r="D94" s="1"/>
      <c r="E94" s="1"/>
      <c r="F94" s="1"/>
      <c r="G94" s="20"/>
      <c r="H94" s="20"/>
      <c r="I94" s="20"/>
    </row>
    <row r="95" spans="4:9" x14ac:dyDescent="0.2">
      <c r="D95" s="1"/>
      <c r="E95" s="1"/>
      <c r="F95" s="1"/>
      <c r="G95" s="20"/>
      <c r="H95" s="20"/>
      <c r="I95" s="20"/>
    </row>
    <row r="96" spans="4:9" x14ac:dyDescent="0.2">
      <c r="D96" s="1"/>
      <c r="E96" s="1"/>
      <c r="F96" s="1"/>
      <c r="G96" s="20"/>
      <c r="H96" s="20"/>
      <c r="I96" s="20"/>
    </row>
    <row r="97" spans="4:9" x14ac:dyDescent="0.2">
      <c r="D97" s="1"/>
      <c r="E97" s="1"/>
      <c r="F97" s="1"/>
      <c r="G97" s="20"/>
      <c r="H97" s="20"/>
      <c r="I97" s="20"/>
    </row>
    <row r="98" spans="4:9" x14ac:dyDescent="0.2">
      <c r="D98" s="1"/>
      <c r="E98" s="1"/>
      <c r="F98" s="1"/>
      <c r="G98" s="20"/>
      <c r="H98" s="20"/>
      <c r="I98" s="20"/>
    </row>
    <row r="99" spans="4:9" x14ac:dyDescent="0.2">
      <c r="D99" s="1"/>
      <c r="E99" s="1"/>
      <c r="F99" s="1"/>
      <c r="G99" s="20"/>
      <c r="H99" s="20"/>
      <c r="I99" s="20"/>
    </row>
    <row r="100" spans="4:9" x14ac:dyDescent="0.2">
      <c r="D100" s="1"/>
      <c r="E100" s="1"/>
      <c r="F100" s="1"/>
      <c r="G100" s="20"/>
      <c r="H100" s="20"/>
      <c r="I100" s="20"/>
    </row>
    <row r="101" spans="4:9" x14ac:dyDescent="0.2">
      <c r="D101" s="1"/>
      <c r="E101" s="1"/>
      <c r="F101" s="1"/>
      <c r="G101" s="20"/>
      <c r="H101" s="20"/>
      <c r="I101" s="20"/>
    </row>
    <row r="102" spans="4:9" x14ac:dyDescent="0.2">
      <c r="D102" s="1"/>
      <c r="E102" s="1"/>
      <c r="F102" s="1"/>
      <c r="G102" s="20"/>
      <c r="H102" s="20"/>
      <c r="I102" s="20"/>
    </row>
    <row r="103" spans="4:9" x14ac:dyDescent="0.2">
      <c r="D103" s="1"/>
      <c r="E103" s="1"/>
      <c r="F103" s="1"/>
      <c r="G103" s="20"/>
      <c r="H103" s="20"/>
      <c r="I103" s="20"/>
    </row>
    <row r="104" spans="4:9" x14ac:dyDescent="0.2">
      <c r="D104" s="1"/>
      <c r="E104" s="1"/>
      <c r="F104" s="1"/>
      <c r="G104" s="20"/>
      <c r="H104" s="20"/>
      <c r="I104" s="20"/>
    </row>
    <row r="105" spans="4:9" x14ac:dyDescent="0.2">
      <c r="D105" s="1"/>
      <c r="E105" s="1"/>
      <c r="F105" s="1"/>
      <c r="G105" s="20"/>
      <c r="H105" s="20"/>
      <c r="I105" s="20"/>
    </row>
    <row r="106" spans="4:9" x14ac:dyDescent="0.2">
      <c r="D106" s="1"/>
      <c r="E106" s="1"/>
      <c r="F106" s="1"/>
      <c r="G106" s="20"/>
      <c r="H106" s="20"/>
      <c r="I106" s="20"/>
    </row>
    <row r="107" spans="4:9" x14ac:dyDescent="0.2">
      <c r="D107" s="1"/>
      <c r="E107" s="1"/>
      <c r="F107" s="1"/>
      <c r="G107" s="20"/>
      <c r="H107" s="20"/>
      <c r="I107" s="20"/>
    </row>
    <row r="108" spans="4:9" x14ac:dyDescent="0.2">
      <c r="D108" s="1"/>
      <c r="E108" s="1"/>
      <c r="F108" s="1"/>
      <c r="G108" s="20"/>
      <c r="H108" s="20"/>
      <c r="I108" s="20"/>
    </row>
    <row r="109" spans="4:9" x14ac:dyDescent="0.2">
      <c r="D109" s="1"/>
      <c r="E109" s="1"/>
      <c r="F109" s="1"/>
      <c r="G109" s="20"/>
      <c r="H109" s="20"/>
      <c r="I109" s="20"/>
    </row>
    <row r="110" spans="4:9" x14ac:dyDescent="0.2">
      <c r="D110" s="1"/>
      <c r="E110" s="1"/>
      <c r="F110" s="1"/>
      <c r="G110" s="20"/>
      <c r="H110" s="20"/>
      <c r="I110" s="20"/>
    </row>
    <row r="111" spans="4:9" x14ac:dyDescent="0.2">
      <c r="D111" s="1"/>
      <c r="E111" s="1"/>
      <c r="F111" s="1"/>
      <c r="G111" s="20"/>
      <c r="H111" s="20"/>
      <c r="I111" s="20"/>
    </row>
    <row r="112" spans="4:9" x14ac:dyDescent="0.2">
      <c r="D112" s="1"/>
      <c r="E112" s="1"/>
      <c r="F112" s="1"/>
      <c r="G112" s="20"/>
      <c r="H112" s="20"/>
      <c r="I112" s="20"/>
    </row>
    <row r="113" spans="4:9" x14ac:dyDescent="0.2">
      <c r="D113" s="1"/>
      <c r="E113" s="1"/>
      <c r="F113" s="1"/>
      <c r="G113" s="20"/>
      <c r="H113" s="20"/>
      <c r="I113" s="20"/>
    </row>
    <row r="114" spans="4:9" x14ac:dyDescent="0.2">
      <c r="D114" s="1"/>
      <c r="E114" s="1"/>
      <c r="F114" s="1"/>
      <c r="G114" s="20"/>
      <c r="H114" s="20"/>
      <c r="I114" s="20"/>
    </row>
    <row r="115" spans="4:9" x14ac:dyDescent="0.2">
      <c r="D115" s="1"/>
      <c r="E115" s="1"/>
      <c r="F115" s="1"/>
      <c r="G115" s="20"/>
      <c r="H115" s="20"/>
      <c r="I115" s="20"/>
    </row>
    <row r="116" spans="4:9" x14ac:dyDescent="0.2">
      <c r="D116" s="1"/>
      <c r="E116" s="1"/>
      <c r="F116" s="1"/>
      <c r="G116" s="20"/>
      <c r="H116" s="20"/>
      <c r="I116" s="20"/>
    </row>
    <row r="117" spans="4:9" x14ac:dyDescent="0.2">
      <c r="D117" s="1"/>
      <c r="E117" s="1"/>
      <c r="F117" s="1"/>
      <c r="G117" s="20"/>
      <c r="H117" s="20"/>
      <c r="I117" s="20"/>
    </row>
    <row r="118" spans="4:9" x14ac:dyDescent="0.2">
      <c r="D118" s="1"/>
      <c r="E118" s="1"/>
      <c r="F118" s="1"/>
      <c r="G118" s="20"/>
      <c r="H118" s="20"/>
      <c r="I118" s="20"/>
    </row>
    <row r="119" spans="4:9" x14ac:dyDescent="0.2">
      <c r="D119" s="1"/>
      <c r="E119" s="1"/>
      <c r="F119" s="1"/>
      <c r="G119" s="20"/>
      <c r="H119" s="20"/>
      <c r="I119" s="20"/>
    </row>
    <row r="120" spans="4:9" x14ac:dyDescent="0.2">
      <c r="D120" s="1"/>
      <c r="E120" s="1"/>
      <c r="F120" s="1"/>
      <c r="G120" s="20"/>
      <c r="H120" s="20"/>
      <c r="I120" s="20"/>
    </row>
    <row r="121" spans="4:9" x14ac:dyDescent="0.2">
      <c r="D121" s="1"/>
      <c r="E121" s="1"/>
      <c r="F121" s="1"/>
      <c r="G121" s="20"/>
      <c r="H121" s="20"/>
      <c r="I121" s="20"/>
    </row>
    <row r="122" spans="4:9" x14ac:dyDescent="0.2">
      <c r="D122" s="1"/>
      <c r="E122" s="1"/>
      <c r="F122" s="1"/>
      <c r="G122" s="20"/>
      <c r="H122" s="20"/>
      <c r="I122" s="20"/>
    </row>
    <row r="123" spans="4:9" x14ac:dyDescent="0.2">
      <c r="D123" s="1"/>
      <c r="E123" s="1"/>
      <c r="F123" s="1"/>
      <c r="G123" s="20"/>
      <c r="H123" s="20"/>
      <c r="I123" s="20"/>
    </row>
    <row r="124" spans="4:9" x14ac:dyDescent="0.2">
      <c r="D124" s="1"/>
      <c r="E124" s="1"/>
      <c r="F124" s="1"/>
      <c r="G124" s="20"/>
      <c r="H124" s="20"/>
      <c r="I124" s="20"/>
    </row>
    <row r="125" spans="4:9" x14ac:dyDescent="0.2">
      <c r="D125" s="1"/>
      <c r="E125" s="1"/>
      <c r="F125" s="1"/>
      <c r="G125" s="20"/>
      <c r="H125" s="20"/>
      <c r="I125" s="20"/>
    </row>
    <row r="126" spans="4:9" x14ac:dyDescent="0.2">
      <c r="D126" s="1"/>
      <c r="E126" s="1"/>
      <c r="F126" s="1"/>
      <c r="G126" s="20"/>
      <c r="H126" s="20"/>
      <c r="I126" s="20"/>
    </row>
    <row r="127" spans="4:9" x14ac:dyDescent="0.2">
      <c r="D127" s="1"/>
      <c r="E127" s="1"/>
      <c r="F127" s="1"/>
      <c r="G127" s="20"/>
      <c r="H127" s="20"/>
      <c r="I127" s="20"/>
    </row>
    <row r="128" spans="4:9" x14ac:dyDescent="0.2">
      <c r="D128" s="1"/>
      <c r="E128" s="1"/>
      <c r="F128" s="1"/>
      <c r="G128" s="20"/>
      <c r="H128" s="20"/>
      <c r="I128" s="20"/>
    </row>
  </sheetData>
  <mergeCells count="6">
    <mergeCell ref="P2:R2"/>
    <mergeCell ref="J1:K2"/>
    <mergeCell ref="L1:R1"/>
    <mergeCell ref="D2:F2"/>
    <mergeCell ref="L2:O2"/>
    <mergeCell ref="G1:I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5"/>
  <sheetViews>
    <sheetView workbookViewId="0">
      <pane xSplit="1" ySplit="3" topLeftCell="B4" activePane="bottomRight" state="frozen"/>
      <selection pane="topRight" activeCell="B1" sqref="B1"/>
      <selection pane="bottomLeft" activeCell="A4" sqref="A4"/>
      <selection pane="bottomRight" activeCell="A3" sqref="A3"/>
    </sheetView>
  </sheetViews>
  <sheetFormatPr defaultRowHeight="12" x14ac:dyDescent="0.2"/>
  <cols>
    <col min="1" max="1" width="32.85546875" style="20" bestFit="1" customWidth="1"/>
    <col min="2" max="2" width="9.7109375" style="1" bestFit="1" customWidth="1"/>
    <col min="3" max="3" width="10" style="1" bestFit="1" customWidth="1"/>
    <col min="4" max="4" width="8.7109375" style="20" bestFit="1" customWidth="1"/>
    <col min="5" max="5" width="6.7109375" style="20" bestFit="1" customWidth="1"/>
    <col min="6" max="6" width="6.140625" style="20" bestFit="1" customWidth="1"/>
    <col min="7" max="8" width="8.7109375" style="1" bestFit="1" customWidth="1"/>
    <col min="9" max="9" width="9.5703125" style="1" bestFit="1" customWidth="1"/>
    <col min="10" max="10" width="8.7109375" style="1" customWidth="1"/>
    <col min="11" max="11" width="9.28515625" style="1" customWidth="1"/>
    <col min="12" max="12" width="8.7109375" style="1" bestFit="1" customWidth="1"/>
    <col min="13" max="13" width="6.7109375" style="1" bestFit="1" customWidth="1"/>
    <col min="14" max="14" width="6.140625" style="1" bestFit="1" customWidth="1"/>
    <col min="15" max="15" width="5.7109375" style="1" bestFit="1" customWidth="1"/>
    <col min="16" max="16" width="10" style="20" customWidth="1"/>
    <col min="17" max="17" width="9.85546875" style="20" customWidth="1"/>
    <col min="18" max="18" width="9.140625" style="20"/>
    <col min="19" max="19" width="12.7109375" style="1" customWidth="1"/>
    <col min="20" max="16384" width="9.140625" style="1"/>
  </cols>
  <sheetData>
    <row r="1" spans="1:20" ht="15" customHeight="1" x14ac:dyDescent="0.2">
      <c r="A1" s="2" t="s">
        <v>403</v>
      </c>
      <c r="B1" s="3"/>
      <c r="G1" s="187" t="s">
        <v>369</v>
      </c>
      <c r="H1" s="187"/>
      <c r="I1" s="187"/>
      <c r="J1" s="180" t="s">
        <v>241</v>
      </c>
      <c r="K1" s="180"/>
      <c r="L1" s="190" t="s">
        <v>388</v>
      </c>
      <c r="M1" s="190"/>
      <c r="N1" s="190"/>
      <c r="O1" s="190"/>
      <c r="P1" s="190"/>
      <c r="Q1" s="190"/>
      <c r="R1" s="190"/>
    </row>
    <row r="2" spans="1:20" ht="12" customHeight="1" x14ac:dyDescent="0.2">
      <c r="A2" s="2"/>
      <c r="B2" s="3"/>
      <c r="D2" s="185" t="s">
        <v>236</v>
      </c>
      <c r="E2" s="185"/>
      <c r="F2" s="185"/>
      <c r="G2" s="187"/>
      <c r="H2" s="187"/>
      <c r="I2" s="187"/>
      <c r="J2" s="180"/>
      <c r="K2" s="180"/>
      <c r="L2" s="191" t="s">
        <v>387</v>
      </c>
      <c r="M2" s="191"/>
      <c r="N2" s="191"/>
      <c r="O2" s="191"/>
      <c r="P2" s="184" t="s">
        <v>395</v>
      </c>
      <c r="Q2" s="184"/>
      <c r="R2" s="184"/>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8</v>
      </c>
      <c r="B4" s="8">
        <v>6000</v>
      </c>
      <c r="C4" s="7">
        <v>5500</v>
      </c>
      <c r="D4" s="21">
        <v>4</v>
      </c>
      <c r="E4" s="21">
        <v>21</v>
      </c>
      <c r="F4" s="21">
        <v>75</v>
      </c>
      <c r="G4" s="30">
        <f>ROUND(D4/100*C4,2)</f>
        <v>220</v>
      </c>
      <c r="H4" s="30">
        <f>ROUND(E4/100*C4,2)</f>
        <v>1155</v>
      </c>
      <c r="I4" s="30">
        <f>ROUND(F4/100*C4,2)</f>
        <v>4125</v>
      </c>
      <c r="J4" s="11"/>
      <c r="K4" s="38"/>
      <c r="L4" s="16">
        <f>ROUND(9.3*G4/100000,7)</f>
        <v>2.0459999999999999E-2</v>
      </c>
      <c r="M4" s="16">
        <f>ROUND(9.5*H4/100000,7)</f>
        <v>0.109725</v>
      </c>
      <c r="N4" s="16">
        <f>ROUND(6*I4/100000,7)</f>
        <v>0.2475</v>
      </c>
      <c r="O4" s="16">
        <f>ROUND(SUM(L4:N4),7)</f>
        <v>0.37768499999999999</v>
      </c>
      <c r="P4" s="30">
        <f>ROUND(O4*100/0.13,7)</f>
        <v>290.52692309999998</v>
      </c>
      <c r="Q4" s="30">
        <f>ROUND(O4*100/0.1,7)</f>
        <v>377.685</v>
      </c>
      <c r="R4" s="30">
        <f>ROUND((P4+Q4)/2,7)</f>
        <v>334.1059616</v>
      </c>
      <c r="S4" s="16">
        <v>2.3989843242771727</v>
      </c>
      <c r="T4" s="16">
        <f>SUM(O4+S4)</f>
        <v>2.7766693242771727</v>
      </c>
    </row>
    <row r="5" spans="1:20" x14ac:dyDescent="0.2">
      <c r="A5" s="6" t="s">
        <v>9</v>
      </c>
      <c r="B5" s="8">
        <v>39600</v>
      </c>
      <c r="C5" s="7">
        <v>38500</v>
      </c>
      <c r="D5" s="1">
        <v>2.8</v>
      </c>
      <c r="E5" s="1">
        <v>15.7</v>
      </c>
      <c r="F5" s="1">
        <v>81.400000000000006</v>
      </c>
      <c r="G5" s="30">
        <f t="shared" ref="G5:G10" si="0">ROUND(D5/100*C5,2)</f>
        <v>1078</v>
      </c>
      <c r="H5" s="30">
        <f t="shared" ref="H5:H10" si="1">ROUND(E5/100*C5,2)</f>
        <v>6044.5</v>
      </c>
      <c r="I5" s="30">
        <f t="shared" ref="I5:I10" si="2">ROUND(F5/100*C5,2)</f>
        <v>31339</v>
      </c>
      <c r="J5" s="11"/>
      <c r="K5" s="38"/>
      <c r="L5" s="16">
        <f t="shared" ref="L5:L49" si="3">ROUND(9.3*G5/100000,7)</f>
        <v>0.100254</v>
      </c>
      <c r="M5" s="16">
        <f t="shared" ref="M5:M49" si="4">ROUND(9.5*H5/100000,7)</f>
        <v>0.5742275</v>
      </c>
      <c r="N5" s="16">
        <f t="shared" ref="N5:N49" si="5">ROUND(6*I5/100000,7)</f>
        <v>1.8803399999999999</v>
      </c>
      <c r="O5" s="16">
        <f t="shared" ref="O5:O49" si="6">ROUND(SUM(L5:N5),7)</f>
        <v>2.5548215000000001</v>
      </c>
      <c r="P5" s="30">
        <f t="shared" ref="P5:P49" si="7">ROUND(O5*100/0.13,7)</f>
        <v>1965.2473077</v>
      </c>
      <c r="Q5" s="30">
        <f t="shared" ref="Q5:Q49" si="8">ROUND(O5*100/0.1,7)</f>
        <v>2554.8215</v>
      </c>
      <c r="R5" s="30">
        <f t="shared" ref="R5:R49" si="9">ROUND((P5+Q5)/2,7)</f>
        <v>2260.0344039000001</v>
      </c>
      <c r="S5" s="16">
        <v>15.833296540229341</v>
      </c>
      <c r="T5" s="16">
        <f t="shared" ref="T5:T50" si="10">SUM(O5+S5)</f>
        <v>18.38811804022934</v>
      </c>
    </row>
    <row r="6" spans="1:20" x14ac:dyDescent="0.2">
      <c r="A6" s="6" t="s">
        <v>10</v>
      </c>
      <c r="B6" s="8">
        <v>16371500</v>
      </c>
      <c r="C6" s="9">
        <v>15161800</v>
      </c>
      <c r="D6" s="19">
        <v>5</v>
      </c>
      <c r="E6" s="19">
        <v>23</v>
      </c>
      <c r="F6" s="19">
        <v>72</v>
      </c>
      <c r="G6" s="30">
        <f t="shared" si="0"/>
        <v>758090</v>
      </c>
      <c r="H6" s="30">
        <f t="shared" si="1"/>
        <v>3487214</v>
      </c>
      <c r="I6" s="30">
        <f t="shared" si="2"/>
        <v>10916496</v>
      </c>
      <c r="J6" s="11">
        <v>871</v>
      </c>
      <c r="K6" s="38">
        <v>568162</v>
      </c>
      <c r="L6" s="16">
        <f t="shared" si="3"/>
        <v>70.502369999999999</v>
      </c>
      <c r="M6" s="16">
        <f t="shared" si="4"/>
        <v>331.28532999999999</v>
      </c>
      <c r="N6" s="16">
        <f t="shared" si="5"/>
        <v>654.98976000000005</v>
      </c>
      <c r="O6" s="16">
        <f t="shared" si="6"/>
        <v>1056.77746</v>
      </c>
      <c r="P6" s="30">
        <f t="shared" si="7"/>
        <v>812905.73846150003</v>
      </c>
      <c r="Q6" s="30">
        <f t="shared" si="8"/>
        <v>1056777.46</v>
      </c>
      <c r="R6" s="30">
        <f t="shared" si="9"/>
        <v>934841.59923080006</v>
      </c>
      <c r="S6" s="16">
        <v>6545.8286441506234</v>
      </c>
      <c r="T6" s="16">
        <f t="shared" si="10"/>
        <v>7602.6061041506237</v>
      </c>
    </row>
    <row r="7" spans="1:20" x14ac:dyDescent="0.2">
      <c r="A7" s="6" t="s">
        <v>12</v>
      </c>
      <c r="B7" s="8">
        <v>52000</v>
      </c>
      <c r="C7" s="7">
        <v>46500</v>
      </c>
      <c r="D7" s="21">
        <v>0.6</v>
      </c>
      <c r="E7" s="21">
        <v>14.5</v>
      </c>
      <c r="F7" s="21">
        <v>84.8</v>
      </c>
      <c r="G7" s="30">
        <f t="shared" si="0"/>
        <v>279</v>
      </c>
      <c r="H7" s="30">
        <f t="shared" si="1"/>
        <v>6742.5</v>
      </c>
      <c r="I7" s="30">
        <f t="shared" si="2"/>
        <v>39432</v>
      </c>
      <c r="J7" s="11"/>
      <c r="K7" s="38"/>
      <c r="L7" s="16">
        <f t="shared" si="3"/>
        <v>2.5947000000000001E-2</v>
      </c>
      <c r="M7" s="16">
        <f t="shared" si="4"/>
        <v>0.64053749999999998</v>
      </c>
      <c r="N7" s="16">
        <f t="shared" si="5"/>
        <v>2.36592</v>
      </c>
      <c r="O7" s="16">
        <f t="shared" si="6"/>
        <v>3.0324045000000002</v>
      </c>
      <c r="P7" s="30">
        <f t="shared" si="7"/>
        <v>2332.6188462</v>
      </c>
      <c r="Q7" s="30">
        <f t="shared" si="8"/>
        <v>3032.4045000000001</v>
      </c>
      <c r="R7" s="30">
        <f t="shared" si="9"/>
        <v>2682.5116730999998</v>
      </c>
      <c r="S7" s="16">
        <v>20.791197477068835</v>
      </c>
      <c r="T7" s="16">
        <f t="shared" si="10"/>
        <v>23.823601977068833</v>
      </c>
    </row>
    <row r="8" spans="1:20" x14ac:dyDescent="0.2">
      <c r="A8" s="6" t="s">
        <v>19</v>
      </c>
      <c r="B8" s="8">
        <v>142200</v>
      </c>
      <c r="C8" s="7">
        <v>127000</v>
      </c>
      <c r="D8" s="19">
        <v>10</v>
      </c>
      <c r="E8" s="19">
        <v>15</v>
      </c>
      <c r="F8" s="19">
        <v>75</v>
      </c>
      <c r="G8" s="30">
        <f t="shared" si="0"/>
        <v>12700</v>
      </c>
      <c r="H8" s="30">
        <f t="shared" si="1"/>
        <v>19050</v>
      </c>
      <c r="I8" s="30">
        <f t="shared" si="2"/>
        <v>95250</v>
      </c>
      <c r="J8" s="11"/>
      <c r="K8" s="38"/>
      <c r="L8" s="16">
        <f t="shared" si="3"/>
        <v>1.1811</v>
      </c>
      <c r="M8" s="16">
        <f t="shared" si="4"/>
        <v>1.80975</v>
      </c>
      <c r="N8" s="16">
        <f t="shared" si="5"/>
        <v>5.7149999999999999</v>
      </c>
      <c r="O8" s="16">
        <f t="shared" si="6"/>
        <v>8.7058499999999999</v>
      </c>
      <c r="P8" s="30">
        <f t="shared" si="7"/>
        <v>6696.8076922999999</v>
      </c>
      <c r="Q8" s="30">
        <f t="shared" si="8"/>
        <v>8705.85</v>
      </c>
      <c r="R8" s="30">
        <f t="shared" si="9"/>
        <v>7701.3288462</v>
      </c>
      <c r="S8" s="16">
        <v>56.855928485369006</v>
      </c>
      <c r="T8" s="16">
        <f t="shared" si="10"/>
        <v>65.561778485369004</v>
      </c>
    </row>
    <row r="9" spans="1:20" x14ac:dyDescent="0.2">
      <c r="A9" s="6" t="s">
        <v>22</v>
      </c>
      <c r="B9" s="8">
        <v>140200</v>
      </c>
      <c r="C9" s="7">
        <v>107600</v>
      </c>
      <c r="D9" s="19">
        <v>10.199999999999999</v>
      </c>
      <c r="E9" s="19">
        <v>18.100000000000001</v>
      </c>
      <c r="F9" s="19">
        <v>71.7</v>
      </c>
      <c r="G9" s="30">
        <f t="shared" si="0"/>
        <v>10975.2</v>
      </c>
      <c r="H9" s="30">
        <f t="shared" si="1"/>
        <v>19475.599999999999</v>
      </c>
      <c r="I9" s="30">
        <f t="shared" si="2"/>
        <v>77149.2</v>
      </c>
      <c r="J9" s="11">
        <v>123</v>
      </c>
      <c r="K9" s="135">
        <v>1927</v>
      </c>
      <c r="L9" s="16">
        <f t="shared" si="3"/>
        <v>1.0206936</v>
      </c>
      <c r="M9" s="16">
        <f t="shared" si="4"/>
        <v>1.850182</v>
      </c>
      <c r="N9" s="16">
        <f t="shared" si="5"/>
        <v>4.628952</v>
      </c>
      <c r="O9" s="16">
        <f t="shared" si="6"/>
        <v>7.4998275999999997</v>
      </c>
      <c r="P9" s="30">
        <f t="shared" si="7"/>
        <v>5769.0981537999996</v>
      </c>
      <c r="Q9" s="30">
        <f t="shared" si="8"/>
        <v>7499.8275999999996</v>
      </c>
      <c r="R9" s="30">
        <f t="shared" si="9"/>
        <v>6634.4628769000001</v>
      </c>
      <c r="S9" s="16">
        <v>56.056267043943279</v>
      </c>
      <c r="T9" s="16">
        <f t="shared" si="10"/>
        <v>63.556094643943283</v>
      </c>
    </row>
    <row r="10" spans="1:20" x14ac:dyDescent="0.2">
      <c r="A10" s="6" t="s">
        <v>24</v>
      </c>
      <c r="B10" s="8">
        <v>39800</v>
      </c>
      <c r="C10" s="9">
        <v>37200</v>
      </c>
      <c r="D10" s="21">
        <v>1.3</v>
      </c>
      <c r="E10" s="21">
        <v>9.9</v>
      </c>
      <c r="F10" s="21">
        <v>88.7</v>
      </c>
      <c r="G10" s="30">
        <f t="shared" si="0"/>
        <v>483.6</v>
      </c>
      <c r="H10" s="30">
        <f t="shared" si="1"/>
        <v>3682.8</v>
      </c>
      <c r="I10" s="30">
        <f t="shared" si="2"/>
        <v>32996.400000000001</v>
      </c>
      <c r="J10" s="11"/>
      <c r="K10" s="38"/>
      <c r="L10" s="16">
        <f t="shared" si="3"/>
        <v>4.4974800000000002E-2</v>
      </c>
      <c r="M10" s="16">
        <f t="shared" si="4"/>
        <v>0.34986600000000001</v>
      </c>
      <c r="N10" s="16">
        <f t="shared" si="5"/>
        <v>1.979784</v>
      </c>
      <c r="O10" s="16">
        <f t="shared" si="6"/>
        <v>2.3746247999999999</v>
      </c>
      <c r="P10" s="30">
        <f t="shared" si="7"/>
        <v>1826.6344615</v>
      </c>
      <c r="Q10" s="30">
        <f t="shared" si="8"/>
        <v>2374.6248000000001</v>
      </c>
      <c r="R10" s="30">
        <f t="shared" si="9"/>
        <v>2100.6296308000001</v>
      </c>
      <c r="S10" s="16">
        <v>15.913262684371915</v>
      </c>
      <c r="T10" s="16">
        <f t="shared" si="10"/>
        <v>18.287887484371915</v>
      </c>
    </row>
    <row r="11" spans="1:20" x14ac:dyDescent="0.2">
      <c r="A11" s="6" t="s">
        <v>26</v>
      </c>
      <c r="B11" s="8">
        <v>4614000</v>
      </c>
      <c r="C11" s="9"/>
      <c r="D11" s="19">
        <v>32</v>
      </c>
      <c r="E11" s="19">
        <v>20</v>
      </c>
      <c r="F11" s="19">
        <v>48</v>
      </c>
      <c r="G11" s="30">
        <f>ROUND(D11/100*B11,2)</f>
        <v>1476480</v>
      </c>
      <c r="H11" s="30">
        <f>ROUND(E11/100*B11,2)</f>
        <v>922800</v>
      </c>
      <c r="I11" s="30">
        <f>ROUND(F11/100*B11,2)</f>
        <v>2214720</v>
      </c>
      <c r="J11" s="11"/>
      <c r="K11" s="38"/>
      <c r="L11" s="16">
        <f t="shared" si="3"/>
        <v>137.31263999999999</v>
      </c>
      <c r="M11" s="16">
        <f t="shared" si="4"/>
        <v>87.665999999999997</v>
      </c>
      <c r="N11" s="16">
        <f t="shared" si="5"/>
        <v>132.88319999999999</v>
      </c>
      <c r="O11" s="16">
        <f t="shared" si="6"/>
        <v>357.86183999999997</v>
      </c>
      <c r="P11" s="30">
        <f t="shared" si="7"/>
        <v>275278.33846150001</v>
      </c>
      <c r="Q11" s="30">
        <f t="shared" si="8"/>
        <v>357861.84</v>
      </c>
      <c r="R11" s="30">
        <f t="shared" si="9"/>
        <v>316570.08923079999</v>
      </c>
      <c r="S11" s="16">
        <v>1844.8189453691459</v>
      </c>
      <c r="T11" s="16">
        <f t="shared" si="10"/>
        <v>2202.6807853691457</v>
      </c>
    </row>
    <row r="12" spans="1:20" x14ac:dyDescent="0.2">
      <c r="A12" s="6" t="s">
        <v>29</v>
      </c>
      <c r="B12" s="8">
        <v>103600000</v>
      </c>
      <c r="C12" s="9">
        <v>93493100</v>
      </c>
      <c r="D12" s="19">
        <v>15.7</v>
      </c>
      <c r="E12" s="19">
        <v>13.3</v>
      </c>
      <c r="F12" s="19">
        <v>71</v>
      </c>
      <c r="G12" s="30">
        <f t="shared" ref="G12:G22" si="11">ROUND(D12/100*C12,2)</f>
        <v>14678416.699999999</v>
      </c>
      <c r="H12" s="30">
        <f t="shared" ref="H12:H22" si="12">ROUND(E12/100*C12,2)</f>
        <v>12434582.300000001</v>
      </c>
      <c r="I12" s="30">
        <f t="shared" ref="I12:I22" si="13">ROUND(F12/100*C12,2)</f>
        <v>66380101</v>
      </c>
      <c r="J12" s="11"/>
      <c r="K12" s="38"/>
      <c r="L12" s="16">
        <f t="shared" si="3"/>
        <v>1365.0927531</v>
      </c>
      <c r="M12" s="16">
        <f t="shared" si="4"/>
        <v>1181.2853184999999</v>
      </c>
      <c r="N12" s="16">
        <f t="shared" si="5"/>
        <v>3982.8060599999999</v>
      </c>
      <c r="O12" s="16">
        <f t="shared" si="6"/>
        <v>6529.1841316</v>
      </c>
      <c r="P12" s="30">
        <f t="shared" si="7"/>
        <v>5022449.3320000004</v>
      </c>
      <c r="Q12" s="30">
        <f t="shared" si="8"/>
        <v>6529184.1316</v>
      </c>
      <c r="R12" s="30">
        <f t="shared" si="9"/>
        <v>5775816.7318000002</v>
      </c>
      <c r="S12" s="16">
        <v>41422.462665852516</v>
      </c>
      <c r="T12" s="16">
        <f t="shared" si="10"/>
        <v>47951.646797452515</v>
      </c>
    </row>
    <row r="13" spans="1:20" x14ac:dyDescent="0.2">
      <c r="A13" s="6" t="s">
        <v>38</v>
      </c>
      <c r="B13" s="9">
        <v>36000</v>
      </c>
      <c r="C13" s="9">
        <v>33600</v>
      </c>
      <c r="D13" s="19">
        <v>1.8</v>
      </c>
      <c r="E13" s="19">
        <v>18.3</v>
      </c>
      <c r="F13" s="19">
        <v>79.900000000000006</v>
      </c>
      <c r="G13" s="30">
        <f t="shared" si="11"/>
        <v>604.79999999999995</v>
      </c>
      <c r="H13" s="30">
        <f t="shared" si="12"/>
        <v>6148.8</v>
      </c>
      <c r="I13" s="30">
        <f t="shared" si="13"/>
        <v>26846.400000000001</v>
      </c>
      <c r="J13" s="11"/>
      <c r="K13" s="38"/>
      <c r="L13" s="16">
        <f t="shared" si="3"/>
        <v>5.6246400000000002E-2</v>
      </c>
      <c r="M13" s="16">
        <f t="shared" si="4"/>
        <v>0.58413599999999999</v>
      </c>
      <c r="N13" s="16">
        <f t="shared" si="5"/>
        <v>1.610784</v>
      </c>
      <c r="O13" s="16">
        <f t="shared" si="6"/>
        <v>2.2511663999999998</v>
      </c>
      <c r="P13" s="30">
        <f t="shared" si="7"/>
        <v>1731.6664615</v>
      </c>
      <c r="Q13" s="30">
        <f t="shared" si="8"/>
        <v>2251.1664000000001</v>
      </c>
      <c r="R13" s="30">
        <f t="shared" si="9"/>
        <v>1991.4164307999999</v>
      </c>
      <c r="S13" s="16">
        <v>14.39390594566304</v>
      </c>
      <c r="T13" s="16">
        <f t="shared" si="10"/>
        <v>16.645072345663039</v>
      </c>
    </row>
    <row r="14" spans="1:20" x14ac:dyDescent="0.2">
      <c r="A14" s="6" t="s">
        <v>41</v>
      </c>
      <c r="B14" s="8">
        <v>7917600</v>
      </c>
      <c r="C14" s="9">
        <v>7353800</v>
      </c>
      <c r="D14" s="19">
        <v>11.1</v>
      </c>
      <c r="E14" s="19">
        <v>23.6</v>
      </c>
      <c r="F14" s="19">
        <v>65.3</v>
      </c>
      <c r="G14" s="30">
        <f t="shared" si="11"/>
        <v>816271.8</v>
      </c>
      <c r="H14" s="30">
        <f t="shared" si="12"/>
        <v>1735496.8</v>
      </c>
      <c r="I14" s="30">
        <f t="shared" si="13"/>
        <v>4802031.4000000004</v>
      </c>
      <c r="J14" s="11">
        <v>92</v>
      </c>
      <c r="K14" s="38"/>
      <c r="L14" s="16">
        <f t="shared" si="3"/>
        <v>75.913277399999998</v>
      </c>
      <c r="M14" s="16">
        <f t="shared" si="4"/>
        <v>164.872196</v>
      </c>
      <c r="N14" s="16">
        <f t="shared" si="5"/>
        <v>288.12188400000002</v>
      </c>
      <c r="O14" s="16">
        <f t="shared" si="6"/>
        <v>528.90735740000002</v>
      </c>
      <c r="P14" s="30">
        <f t="shared" si="7"/>
        <v>406851.81338459998</v>
      </c>
      <c r="Q14" s="30">
        <f t="shared" si="8"/>
        <v>528907.35739999998</v>
      </c>
      <c r="R14" s="30">
        <f t="shared" si="9"/>
        <v>467879.58539229998</v>
      </c>
      <c r="S14" s="16">
        <v>3165.6997143161575</v>
      </c>
      <c r="T14" s="16">
        <f t="shared" si="10"/>
        <v>3694.6070717161574</v>
      </c>
    </row>
    <row r="15" spans="1:20" x14ac:dyDescent="0.2">
      <c r="A15" s="6" t="s">
        <v>43</v>
      </c>
      <c r="B15" s="8">
        <v>21777100</v>
      </c>
      <c r="C15" s="9">
        <v>19215200</v>
      </c>
      <c r="D15" s="19">
        <v>18.5</v>
      </c>
      <c r="E15" s="19">
        <v>19.8</v>
      </c>
      <c r="F15" s="19">
        <v>61.7</v>
      </c>
      <c r="G15" s="30">
        <f t="shared" si="11"/>
        <v>3554812</v>
      </c>
      <c r="H15" s="30">
        <f t="shared" si="12"/>
        <v>3804609.6</v>
      </c>
      <c r="I15" s="30">
        <f t="shared" si="13"/>
        <v>11855778.4</v>
      </c>
      <c r="J15" s="11"/>
      <c r="K15" s="38"/>
      <c r="L15" s="16">
        <f t="shared" si="3"/>
        <v>330.59751599999998</v>
      </c>
      <c r="M15" s="16">
        <f t="shared" si="4"/>
        <v>361.43791199999998</v>
      </c>
      <c r="N15" s="16">
        <f t="shared" si="5"/>
        <v>711.34670400000005</v>
      </c>
      <c r="O15" s="16">
        <f t="shared" si="6"/>
        <v>1403.382132</v>
      </c>
      <c r="P15" s="30">
        <f t="shared" si="7"/>
        <v>1079524.7169230999</v>
      </c>
      <c r="Q15" s="30">
        <f t="shared" si="8"/>
        <v>1403382.132</v>
      </c>
      <c r="R15" s="30">
        <f t="shared" si="9"/>
        <v>1241453.4244615999</v>
      </c>
      <c r="S15" s="16">
        <v>8707.1535880360716</v>
      </c>
      <c r="T15" s="16">
        <f t="shared" si="10"/>
        <v>10110.535720036072</v>
      </c>
    </row>
    <row r="16" spans="1:20" x14ac:dyDescent="0.2">
      <c r="A16" s="6" t="s">
        <v>48</v>
      </c>
      <c r="B16" s="8">
        <v>2051700</v>
      </c>
      <c r="C16" s="9">
        <v>1902200</v>
      </c>
      <c r="D16" s="19">
        <v>14.1</v>
      </c>
      <c r="E16" s="19">
        <v>19.8</v>
      </c>
      <c r="F16" s="19">
        <v>66.099999999999994</v>
      </c>
      <c r="G16" s="30">
        <f t="shared" si="11"/>
        <v>268210.2</v>
      </c>
      <c r="H16" s="30">
        <f t="shared" si="12"/>
        <v>376635.6</v>
      </c>
      <c r="I16" s="30">
        <f t="shared" si="13"/>
        <v>1257354.2</v>
      </c>
      <c r="J16" s="11"/>
      <c r="K16" s="38"/>
      <c r="L16" s="16">
        <f t="shared" si="3"/>
        <v>24.9435486</v>
      </c>
      <c r="M16" s="16">
        <f t="shared" si="4"/>
        <v>35.780382000000003</v>
      </c>
      <c r="N16" s="16">
        <f t="shared" si="5"/>
        <v>75.441252000000006</v>
      </c>
      <c r="O16" s="16">
        <f t="shared" si="6"/>
        <v>136.16518260000001</v>
      </c>
      <c r="P16" s="30">
        <f t="shared" si="7"/>
        <v>104742.4481538</v>
      </c>
      <c r="Q16" s="30">
        <f t="shared" si="8"/>
        <v>136165.1826</v>
      </c>
      <c r="R16" s="30">
        <f t="shared" si="9"/>
        <v>120453.81537690001</v>
      </c>
      <c r="S16" s="16">
        <v>820.33268968657933</v>
      </c>
      <c r="T16" s="16">
        <f t="shared" si="10"/>
        <v>956.49787228657931</v>
      </c>
    </row>
    <row r="17" spans="1:20" x14ac:dyDescent="0.2">
      <c r="A17" s="6" t="s">
        <v>51</v>
      </c>
      <c r="B17" s="8">
        <v>5112500</v>
      </c>
      <c r="C17" s="9">
        <v>4984500</v>
      </c>
      <c r="D17" s="19">
        <v>19.7</v>
      </c>
      <c r="E17" s="19">
        <v>17.100000000000001</v>
      </c>
      <c r="F17" s="19">
        <v>63.2</v>
      </c>
      <c r="G17" s="30">
        <f t="shared" si="11"/>
        <v>981946.5</v>
      </c>
      <c r="H17" s="30">
        <f t="shared" si="12"/>
        <v>852349.5</v>
      </c>
      <c r="I17" s="30">
        <f t="shared" si="13"/>
        <v>3150204</v>
      </c>
      <c r="J17" s="11">
        <v>88</v>
      </c>
      <c r="K17" s="135">
        <v>4919</v>
      </c>
      <c r="L17" s="16">
        <f t="shared" si="3"/>
        <v>91.321024499999993</v>
      </c>
      <c r="M17" s="16">
        <f t="shared" si="4"/>
        <v>80.973202499999999</v>
      </c>
      <c r="N17" s="16">
        <f t="shared" si="5"/>
        <v>189.01223999999999</v>
      </c>
      <c r="O17" s="16">
        <f t="shared" si="6"/>
        <v>361.306467</v>
      </c>
      <c r="P17" s="30">
        <f t="shared" si="7"/>
        <v>277928.0515385</v>
      </c>
      <c r="Q17" s="30">
        <f t="shared" si="8"/>
        <v>361306.467</v>
      </c>
      <c r="R17" s="30">
        <f t="shared" si="9"/>
        <v>319617.25926929998</v>
      </c>
      <c r="S17" s="16">
        <v>2044.1345596445076</v>
      </c>
      <c r="T17" s="16">
        <f t="shared" si="10"/>
        <v>2405.4410266445075</v>
      </c>
    </row>
    <row r="18" spans="1:20" x14ac:dyDescent="0.2">
      <c r="A18" s="6" t="s">
        <v>56</v>
      </c>
      <c r="B18" s="7">
        <v>27900</v>
      </c>
      <c r="C18" s="7">
        <v>24800</v>
      </c>
      <c r="D18" s="19">
        <v>40</v>
      </c>
      <c r="E18" s="19">
        <v>32</v>
      </c>
      <c r="F18" s="19">
        <v>28</v>
      </c>
      <c r="G18" s="30">
        <f t="shared" si="11"/>
        <v>9920</v>
      </c>
      <c r="H18" s="30">
        <f t="shared" si="12"/>
        <v>7936</v>
      </c>
      <c r="I18" s="30">
        <f t="shared" si="13"/>
        <v>6944</v>
      </c>
      <c r="J18" s="11"/>
      <c r="K18" s="38"/>
      <c r="L18" s="16">
        <f t="shared" si="3"/>
        <v>0.92256000000000005</v>
      </c>
      <c r="M18" s="16">
        <f t="shared" si="4"/>
        <v>0.75392000000000003</v>
      </c>
      <c r="N18" s="16">
        <f t="shared" si="5"/>
        <v>0.41664000000000001</v>
      </c>
      <c r="O18" s="16">
        <f t="shared" si="6"/>
        <v>2.0931199999999999</v>
      </c>
      <c r="P18" s="30">
        <f t="shared" si="7"/>
        <v>1610.0923077</v>
      </c>
      <c r="Q18" s="30">
        <f t="shared" si="8"/>
        <v>2093.12</v>
      </c>
      <c r="R18" s="30">
        <f t="shared" si="9"/>
        <v>1851.6061539</v>
      </c>
      <c r="S18" s="16">
        <v>11.155277107888855</v>
      </c>
      <c r="T18" s="16">
        <f t="shared" si="10"/>
        <v>13.248397107888856</v>
      </c>
    </row>
    <row r="19" spans="1:20" x14ac:dyDescent="0.2">
      <c r="A19" s="6" t="s">
        <v>57</v>
      </c>
      <c r="B19" s="8">
        <v>4378900</v>
      </c>
      <c r="C19" s="9">
        <v>3753500</v>
      </c>
      <c r="D19" s="19">
        <v>14.6</v>
      </c>
      <c r="E19" s="19">
        <v>18.100000000000001</v>
      </c>
      <c r="F19" s="19">
        <v>67.3</v>
      </c>
      <c r="G19" s="30">
        <f t="shared" si="11"/>
        <v>548011</v>
      </c>
      <c r="H19" s="30">
        <f t="shared" si="12"/>
        <v>679383.5</v>
      </c>
      <c r="I19" s="30">
        <f t="shared" si="13"/>
        <v>2526105.5</v>
      </c>
      <c r="J19" s="11"/>
      <c r="K19" s="38"/>
      <c r="L19" s="16">
        <f t="shared" si="3"/>
        <v>50.965023000000002</v>
      </c>
      <c r="M19" s="16">
        <f t="shared" si="4"/>
        <v>64.541432499999999</v>
      </c>
      <c r="N19" s="16">
        <f t="shared" si="5"/>
        <v>151.56632999999999</v>
      </c>
      <c r="O19" s="16">
        <f t="shared" si="6"/>
        <v>267.07278550000001</v>
      </c>
      <c r="P19" s="30">
        <f t="shared" si="7"/>
        <v>205440.6042308</v>
      </c>
      <c r="Q19" s="30">
        <f t="shared" si="8"/>
        <v>267072.7855</v>
      </c>
      <c r="R19" s="30">
        <f t="shared" si="9"/>
        <v>236256.6948654</v>
      </c>
      <c r="S19" s="16">
        <v>1750.8187429295522</v>
      </c>
      <c r="T19" s="16">
        <f t="shared" si="10"/>
        <v>2017.8915284295522</v>
      </c>
    </row>
    <row r="20" spans="1:20" x14ac:dyDescent="0.2">
      <c r="A20" s="6" t="s">
        <v>58</v>
      </c>
      <c r="B20" s="8">
        <v>6535200</v>
      </c>
      <c r="C20" s="9">
        <v>6209000</v>
      </c>
      <c r="D20" s="19">
        <v>27.6</v>
      </c>
      <c r="E20" s="19">
        <v>18.8</v>
      </c>
      <c r="F20" s="19">
        <v>53.6</v>
      </c>
      <c r="G20" s="30">
        <f t="shared" si="11"/>
        <v>1713684</v>
      </c>
      <c r="H20" s="30">
        <f t="shared" si="12"/>
        <v>1167292</v>
      </c>
      <c r="I20" s="30">
        <f t="shared" si="13"/>
        <v>3328024</v>
      </c>
      <c r="J20" s="11"/>
      <c r="K20" s="38"/>
      <c r="L20" s="16">
        <f t="shared" si="3"/>
        <v>159.372612</v>
      </c>
      <c r="M20" s="16">
        <f t="shared" si="4"/>
        <v>110.89274</v>
      </c>
      <c r="N20" s="16">
        <f t="shared" si="5"/>
        <v>199.68144000000001</v>
      </c>
      <c r="O20" s="16">
        <f t="shared" si="6"/>
        <v>469.94679200000002</v>
      </c>
      <c r="P20" s="30">
        <f t="shared" si="7"/>
        <v>361497.53230770002</v>
      </c>
      <c r="Q20" s="30">
        <f t="shared" si="8"/>
        <v>469946.79200000002</v>
      </c>
      <c r="R20" s="30">
        <f t="shared" si="9"/>
        <v>415722.16215390002</v>
      </c>
      <c r="S20" s="16">
        <v>2612.9737260026968</v>
      </c>
      <c r="T20" s="16">
        <f t="shared" si="10"/>
        <v>3082.920518002697</v>
      </c>
    </row>
    <row r="21" spans="1:20" x14ac:dyDescent="0.2">
      <c r="A21" s="6" t="s">
        <v>60</v>
      </c>
      <c r="B21" s="8">
        <v>2580300</v>
      </c>
      <c r="C21" s="9">
        <v>2398500</v>
      </c>
      <c r="D21" s="19">
        <v>21</v>
      </c>
      <c r="E21" s="19">
        <v>20</v>
      </c>
      <c r="F21" s="19">
        <v>58</v>
      </c>
      <c r="G21" s="30">
        <f t="shared" si="11"/>
        <v>503685</v>
      </c>
      <c r="H21" s="30">
        <f t="shared" si="12"/>
        <v>479700</v>
      </c>
      <c r="I21" s="30">
        <f t="shared" si="13"/>
        <v>1391130</v>
      </c>
      <c r="J21" s="11">
        <v>96</v>
      </c>
      <c r="K21" s="135">
        <v>19952</v>
      </c>
      <c r="L21" s="16">
        <f t="shared" si="3"/>
        <v>46.842705000000002</v>
      </c>
      <c r="M21" s="16">
        <f t="shared" si="4"/>
        <v>45.5715</v>
      </c>
      <c r="N21" s="16">
        <f t="shared" si="5"/>
        <v>83.467799999999997</v>
      </c>
      <c r="O21" s="16">
        <f t="shared" si="6"/>
        <v>175.88200499999999</v>
      </c>
      <c r="P21" s="30">
        <f t="shared" si="7"/>
        <v>135293.85</v>
      </c>
      <c r="Q21" s="30">
        <f t="shared" si="8"/>
        <v>175882.005</v>
      </c>
      <c r="R21" s="30">
        <f t="shared" si="9"/>
        <v>155587.92749999999</v>
      </c>
      <c r="S21" s="16">
        <v>1031.6832086553982</v>
      </c>
      <c r="T21" s="16">
        <f t="shared" si="10"/>
        <v>1207.5652136553981</v>
      </c>
    </row>
    <row r="22" spans="1:20" x14ac:dyDescent="0.2">
      <c r="A22" s="6" t="s">
        <v>65</v>
      </c>
      <c r="B22" s="8">
        <v>34710</v>
      </c>
      <c r="C22" s="7">
        <v>27000</v>
      </c>
      <c r="D22" s="19">
        <v>10.7</v>
      </c>
      <c r="E22" s="19">
        <v>18.899999999999999</v>
      </c>
      <c r="F22" s="19">
        <v>70.3</v>
      </c>
      <c r="G22" s="30">
        <f t="shared" si="11"/>
        <v>2889</v>
      </c>
      <c r="H22" s="30">
        <f t="shared" si="12"/>
        <v>5103</v>
      </c>
      <c r="I22" s="30">
        <f t="shared" si="13"/>
        <v>18981</v>
      </c>
      <c r="J22" s="11"/>
      <c r="K22" s="38"/>
      <c r="L22" s="16">
        <f t="shared" si="3"/>
        <v>0.268677</v>
      </c>
      <c r="M22" s="16">
        <f t="shared" si="4"/>
        <v>0.48478500000000002</v>
      </c>
      <c r="N22" s="16">
        <f t="shared" si="5"/>
        <v>1.13886</v>
      </c>
      <c r="O22" s="16">
        <f t="shared" si="6"/>
        <v>1.8923220000000001</v>
      </c>
      <c r="P22" s="30">
        <f t="shared" si="7"/>
        <v>1455.6323077</v>
      </c>
      <c r="Q22" s="30">
        <f t="shared" si="8"/>
        <v>1892.3219999999999</v>
      </c>
      <c r="R22" s="30">
        <f t="shared" si="9"/>
        <v>1673.9771539000001</v>
      </c>
      <c r="S22" s="16">
        <v>13.878124315943445</v>
      </c>
      <c r="T22" s="16">
        <f t="shared" si="10"/>
        <v>15.770446315943445</v>
      </c>
    </row>
    <row r="23" spans="1:20" x14ac:dyDescent="0.2">
      <c r="A23" s="6" t="s">
        <v>66</v>
      </c>
      <c r="B23" s="8">
        <v>5246</v>
      </c>
      <c r="C23" s="7"/>
      <c r="D23" s="21">
        <v>95</v>
      </c>
      <c r="E23" s="23">
        <v>2</v>
      </c>
      <c r="F23" s="23">
        <v>3</v>
      </c>
      <c r="G23" s="30">
        <f>ROUND(D23/100*B23,2)</f>
        <v>4983.7</v>
      </c>
      <c r="H23" s="30">
        <f>ROUND(E23/100*B23,2)</f>
        <v>104.92</v>
      </c>
      <c r="I23" s="30">
        <f>ROUND(F23/100*B23,2)</f>
        <v>157.38</v>
      </c>
      <c r="J23" s="11"/>
      <c r="K23" s="38"/>
      <c r="L23" s="16">
        <f t="shared" si="3"/>
        <v>0.46348410000000001</v>
      </c>
      <c r="M23" s="16">
        <f t="shared" si="4"/>
        <v>9.9673999999999995E-3</v>
      </c>
      <c r="N23" s="16">
        <f t="shared" si="5"/>
        <v>9.4427999999999995E-3</v>
      </c>
      <c r="O23" s="16">
        <f t="shared" si="6"/>
        <v>0.4828943</v>
      </c>
      <c r="P23" s="30">
        <f t="shared" si="7"/>
        <v>371.45715380000001</v>
      </c>
      <c r="Q23" s="30">
        <f t="shared" si="8"/>
        <v>482.89429999999999</v>
      </c>
      <c r="R23" s="30">
        <f t="shared" si="9"/>
        <v>427.17572689999997</v>
      </c>
      <c r="S23" s="16">
        <v>2.0975119608596748</v>
      </c>
      <c r="T23" s="16">
        <f t="shared" si="10"/>
        <v>2.5804062608596747</v>
      </c>
    </row>
    <row r="24" spans="1:20" x14ac:dyDescent="0.2">
      <c r="A24" s="6" t="s">
        <v>70</v>
      </c>
      <c r="B24" s="10">
        <v>83600</v>
      </c>
      <c r="C24" s="10">
        <v>58500</v>
      </c>
      <c r="D24" s="22">
        <v>18</v>
      </c>
      <c r="E24" s="23">
        <v>21</v>
      </c>
      <c r="F24" s="23">
        <v>61</v>
      </c>
      <c r="G24" s="30">
        <f>ROUND(D24/100*C24,2)</f>
        <v>10530</v>
      </c>
      <c r="H24" s="30">
        <f>ROUND(E24/100*C24,2)</f>
        <v>12285</v>
      </c>
      <c r="I24" s="30">
        <f>ROUND(F24/100*C24,2)</f>
        <v>35685</v>
      </c>
      <c r="J24" s="11"/>
      <c r="K24" s="38"/>
      <c r="L24" s="16">
        <f t="shared" si="3"/>
        <v>0.97928999999999999</v>
      </c>
      <c r="M24" s="16">
        <f t="shared" si="4"/>
        <v>1.1670750000000001</v>
      </c>
      <c r="N24" s="16">
        <f t="shared" si="5"/>
        <v>2.1410999999999998</v>
      </c>
      <c r="O24" s="16">
        <f t="shared" si="6"/>
        <v>4.2874650000000001</v>
      </c>
      <c r="P24" s="30">
        <f t="shared" si="7"/>
        <v>3298.05</v>
      </c>
      <c r="Q24" s="30">
        <f t="shared" si="8"/>
        <v>4287.4650000000001</v>
      </c>
      <c r="R24" s="30">
        <f t="shared" si="9"/>
        <v>3792.7575000000002</v>
      </c>
      <c r="S24" s="16">
        <v>33.425848251595276</v>
      </c>
      <c r="T24" s="16">
        <f t="shared" si="10"/>
        <v>37.713313251595274</v>
      </c>
    </row>
    <row r="25" spans="1:20" x14ac:dyDescent="0.2">
      <c r="A25" s="6" t="s">
        <v>80</v>
      </c>
      <c r="B25" s="8">
        <v>47580</v>
      </c>
      <c r="C25" s="7"/>
      <c r="D25" s="19">
        <v>11</v>
      </c>
      <c r="E25" s="19">
        <v>20</v>
      </c>
      <c r="F25" s="19">
        <v>69</v>
      </c>
      <c r="G25" s="30">
        <f>ROUND(D25/100*B25,2)</f>
        <v>5233.8</v>
      </c>
      <c r="H25" s="30">
        <f>ROUND(E25/100*B25,2)</f>
        <v>9516</v>
      </c>
      <c r="I25" s="30">
        <f>ROUND(F25/100*B25,2)</f>
        <v>32830.199999999997</v>
      </c>
      <c r="J25" s="11"/>
      <c r="K25" s="38"/>
      <c r="L25" s="16">
        <f t="shared" si="3"/>
        <v>0.48674339999999999</v>
      </c>
      <c r="M25" s="16">
        <f t="shared" si="4"/>
        <v>0.90402000000000005</v>
      </c>
      <c r="N25" s="16">
        <f t="shared" si="5"/>
        <v>1.9698119999999999</v>
      </c>
      <c r="O25" s="16">
        <f t="shared" si="6"/>
        <v>3.3605754000000001</v>
      </c>
      <c r="P25" s="30">
        <f t="shared" si="7"/>
        <v>2585.058</v>
      </c>
      <c r="Q25" s="30">
        <f t="shared" si="8"/>
        <v>3360.5754000000002</v>
      </c>
      <c r="R25" s="30">
        <f t="shared" si="9"/>
        <v>2972.8166999999999</v>
      </c>
      <c r="S25" s="16">
        <v>19.02394569151798</v>
      </c>
      <c r="T25" s="16">
        <f t="shared" si="10"/>
        <v>22.384521091517982</v>
      </c>
    </row>
    <row r="26" spans="1:20" x14ac:dyDescent="0.2">
      <c r="A26" s="6" t="s">
        <v>81</v>
      </c>
      <c r="B26" s="10">
        <v>174300</v>
      </c>
      <c r="C26" s="10">
        <v>124000</v>
      </c>
      <c r="D26" s="22">
        <v>7</v>
      </c>
      <c r="E26" s="23">
        <v>5</v>
      </c>
      <c r="F26" s="23">
        <v>88</v>
      </c>
      <c r="G26" s="30">
        <f t="shared" ref="G26:G28" si="14">ROUND(D26/100*C26,2)</f>
        <v>8680</v>
      </c>
      <c r="H26" s="30">
        <f t="shared" ref="H26:H28" si="15">ROUND(E26/100*C26,2)</f>
        <v>6200</v>
      </c>
      <c r="I26" s="30">
        <f t="shared" ref="I26:I28" si="16">ROUND(F26/100*C26,2)</f>
        <v>109120</v>
      </c>
      <c r="J26" s="11"/>
      <c r="K26" s="38"/>
      <c r="L26" s="16">
        <f t="shared" si="3"/>
        <v>0.80723999999999996</v>
      </c>
      <c r="M26" s="16">
        <f t="shared" si="4"/>
        <v>0.58899999999999997</v>
      </c>
      <c r="N26" s="16">
        <f t="shared" si="5"/>
        <v>6.5472000000000001</v>
      </c>
      <c r="O26" s="16">
        <f t="shared" si="6"/>
        <v>7.9434399999999998</v>
      </c>
      <c r="P26" s="30">
        <f t="shared" si="7"/>
        <v>6110.3384615000004</v>
      </c>
      <c r="Q26" s="30">
        <f t="shared" si="8"/>
        <v>7943.44</v>
      </c>
      <c r="R26" s="30">
        <f t="shared" si="9"/>
        <v>7026.8892308000004</v>
      </c>
      <c r="S26" s="16">
        <v>69.690494620251869</v>
      </c>
      <c r="T26" s="16">
        <f t="shared" si="10"/>
        <v>77.633934620251864</v>
      </c>
    </row>
    <row r="27" spans="1:20" x14ac:dyDescent="0.2">
      <c r="A27" s="6" t="s">
        <v>83</v>
      </c>
      <c r="B27" s="8">
        <v>5769300</v>
      </c>
      <c r="C27" s="9">
        <v>5566400</v>
      </c>
      <c r="D27" s="19">
        <v>38</v>
      </c>
      <c r="E27" s="19">
        <v>14</v>
      </c>
      <c r="F27" s="19">
        <v>48</v>
      </c>
      <c r="G27" s="30">
        <f t="shared" si="14"/>
        <v>2115232</v>
      </c>
      <c r="H27" s="30">
        <f t="shared" si="15"/>
        <v>779296</v>
      </c>
      <c r="I27" s="30">
        <f t="shared" si="16"/>
        <v>2671872</v>
      </c>
      <c r="J27" s="11"/>
      <c r="K27" s="38"/>
      <c r="L27" s="16">
        <f t="shared" si="3"/>
        <v>196.716576</v>
      </c>
      <c r="M27" s="16">
        <f t="shared" si="4"/>
        <v>74.033119999999997</v>
      </c>
      <c r="N27" s="16">
        <f t="shared" si="5"/>
        <v>160.31232</v>
      </c>
      <c r="O27" s="16">
        <f t="shared" si="6"/>
        <v>431.06201600000003</v>
      </c>
      <c r="P27" s="30">
        <f t="shared" si="7"/>
        <v>331586.16615379998</v>
      </c>
      <c r="Q27" s="30">
        <f t="shared" si="8"/>
        <v>431062.016</v>
      </c>
      <c r="R27" s="30">
        <f t="shared" si="9"/>
        <v>381324.09107690002</v>
      </c>
      <c r="S27" s="16">
        <v>2306.7433770087155</v>
      </c>
      <c r="T27" s="16">
        <f t="shared" si="10"/>
        <v>2737.8053930087153</v>
      </c>
    </row>
    <row r="28" spans="1:20" x14ac:dyDescent="0.2">
      <c r="A28" s="6" t="s">
        <v>87</v>
      </c>
      <c r="B28" s="7">
        <v>295504</v>
      </c>
      <c r="C28" s="7">
        <v>239600</v>
      </c>
      <c r="D28" s="21">
        <v>22.2</v>
      </c>
      <c r="E28" s="21">
        <v>25.4</v>
      </c>
      <c r="F28" s="21">
        <v>52.5</v>
      </c>
      <c r="G28" s="30">
        <f t="shared" si="14"/>
        <v>53191.199999999997</v>
      </c>
      <c r="H28" s="30">
        <f t="shared" si="15"/>
        <v>60858.400000000001</v>
      </c>
      <c r="I28" s="30">
        <f t="shared" si="16"/>
        <v>125790</v>
      </c>
      <c r="J28" s="11"/>
      <c r="K28" s="38"/>
      <c r="L28" s="16">
        <f t="shared" si="3"/>
        <v>4.9467815999999996</v>
      </c>
      <c r="M28" s="16">
        <f t="shared" si="4"/>
        <v>5.7815479999999999</v>
      </c>
      <c r="N28" s="16">
        <f t="shared" si="5"/>
        <v>7.5473999999999997</v>
      </c>
      <c r="O28" s="16">
        <f t="shared" si="6"/>
        <v>18.275729599999998</v>
      </c>
      <c r="P28" s="30">
        <f t="shared" si="7"/>
        <v>14058.253538499999</v>
      </c>
      <c r="Q28" s="30">
        <f t="shared" si="8"/>
        <v>18275.729599999999</v>
      </c>
      <c r="R28" s="30">
        <f t="shared" si="9"/>
        <v>16166.9915693</v>
      </c>
      <c r="S28" s="16">
        <v>118.15157729353362</v>
      </c>
      <c r="T28" s="16">
        <f t="shared" si="10"/>
        <v>136.42730689353363</v>
      </c>
    </row>
    <row r="29" spans="1:20" x14ac:dyDescent="0.2">
      <c r="A29" s="6" t="s">
        <v>88</v>
      </c>
      <c r="B29" s="8">
        <v>4247000</v>
      </c>
      <c r="C29" s="7"/>
      <c r="D29" s="19">
        <v>38.1</v>
      </c>
      <c r="E29" s="19">
        <v>11.5</v>
      </c>
      <c r="F29" s="19">
        <v>50.4</v>
      </c>
      <c r="G29" s="30">
        <f>ROUND(D29/100*B29,2)</f>
        <v>1618107</v>
      </c>
      <c r="H29" s="30">
        <f>ROUND(E29/100*B29,2)</f>
        <v>488405</v>
      </c>
      <c r="I29" s="30">
        <f>ROUND(F29/100*B29,2)</f>
        <v>2140488</v>
      </c>
      <c r="J29" s="11"/>
      <c r="K29" s="38"/>
      <c r="L29" s="16">
        <f t="shared" si="3"/>
        <v>150.48395099999999</v>
      </c>
      <c r="M29" s="16">
        <f t="shared" si="4"/>
        <v>46.398474999999998</v>
      </c>
      <c r="N29" s="16">
        <f t="shared" si="5"/>
        <v>128.42928000000001</v>
      </c>
      <c r="O29" s="16">
        <f t="shared" si="6"/>
        <v>325.31170600000002</v>
      </c>
      <c r="P29" s="30">
        <f t="shared" si="7"/>
        <v>250239.7738462</v>
      </c>
      <c r="Q29" s="30">
        <f t="shared" si="8"/>
        <v>325311.70600000001</v>
      </c>
      <c r="R29" s="30">
        <f t="shared" si="9"/>
        <v>287775.73992309999</v>
      </c>
      <c r="S29" s="16">
        <v>1698.0810708675256</v>
      </c>
      <c r="T29" s="16">
        <f t="shared" si="10"/>
        <v>2023.3927768675255</v>
      </c>
    </row>
    <row r="30" spans="1:20" x14ac:dyDescent="0.2">
      <c r="A30" s="6" t="s">
        <v>89</v>
      </c>
      <c r="B30" s="8">
        <v>3387700</v>
      </c>
      <c r="C30" s="9">
        <v>3254000</v>
      </c>
      <c r="D30" s="19">
        <v>39.200000000000003</v>
      </c>
      <c r="E30" s="19">
        <v>20.9</v>
      </c>
      <c r="F30" s="19">
        <v>39.799999999999997</v>
      </c>
      <c r="G30" s="30">
        <f t="shared" ref="G30:G33" si="17">ROUND(D30/100*C30,2)</f>
        <v>1275568</v>
      </c>
      <c r="H30" s="30">
        <f t="shared" ref="H30:H33" si="18">ROUND(E30/100*C30,2)</f>
        <v>680086</v>
      </c>
      <c r="I30" s="30">
        <f t="shared" ref="I30:I33" si="19">ROUND(F30/100*C30,2)</f>
        <v>1295092</v>
      </c>
      <c r="J30" s="11"/>
      <c r="K30" s="38"/>
      <c r="L30" s="16">
        <f t="shared" si="3"/>
        <v>118.627824</v>
      </c>
      <c r="M30" s="16">
        <f t="shared" si="4"/>
        <v>64.608170000000001</v>
      </c>
      <c r="N30" s="16">
        <f t="shared" si="5"/>
        <v>77.705520000000007</v>
      </c>
      <c r="O30" s="16">
        <f t="shared" si="6"/>
        <v>260.94151399999998</v>
      </c>
      <c r="P30" s="30">
        <f t="shared" si="7"/>
        <v>200724.24153850001</v>
      </c>
      <c r="Q30" s="30">
        <f t="shared" si="8"/>
        <v>260941.514</v>
      </c>
      <c r="R30" s="30">
        <f t="shared" si="9"/>
        <v>230832.87776929999</v>
      </c>
      <c r="S30" s="16">
        <v>1354.506532558963</v>
      </c>
      <c r="T30" s="16">
        <f t="shared" si="10"/>
        <v>1615.4480465589631</v>
      </c>
    </row>
    <row r="31" spans="1:20" x14ac:dyDescent="0.2">
      <c r="A31" s="6" t="s">
        <v>101</v>
      </c>
      <c r="B31" s="8">
        <v>1249700</v>
      </c>
      <c r="C31" s="9">
        <v>1094900</v>
      </c>
      <c r="D31" s="19">
        <v>17</v>
      </c>
      <c r="E31" s="19">
        <v>19</v>
      </c>
      <c r="F31" s="19">
        <v>64</v>
      </c>
      <c r="G31" s="30">
        <f t="shared" si="17"/>
        <v>186133</v>
      </c>
      <c r="H31" s="30">
        <f t="shared" si="18"/>
        <v>208031</v>
      </c>
      <c r="I31" s="30">
        <f t="shared" si="19"/>
        <v>700736</v>
      </c>
      <c r="J31" s="11"/>
      <c r="K31" s="38"/>
      <c r="L31" s="16">
        <f t="shared" si="3"/>
        <v>17.310369000000001</v>
      </c>
      <c r="M31" s="16">
        <f t="shared" si="4"/>
        <v>19.762944999999998</v>
      </c>
      <c r="N31" s="16">
        <f t="shared" si="5"/>
        <v>42.044159999999998</v>
      </c>
      <c r="O31" s="16">
        <f t="shared" si="6"/>
        <v>79.117474000000001</v>
      </c>
      <c r="P31" s="30">
        <f t="shared" si="7"/>
        <v>60859.595384599997</v>
      </c>
      <c r="Q31" s="30">
        <f t="shared" si="8"/>
        <v>79117.474000000002</v>
      </c>
      <c r="R31" s="30">
        <f t="shared" si="9"/>
        <v>69988.534692300003</v>
      </c>
      <c r="S31" s="16">
        <v>499.66845167486383</v>
      </c>
      <c r="T31" s="16">
        <f t="shared" si="10"/>
        <v>578.78592567486385</v>
      </c>
    </row>
    <row r="32" spans="1:20" x14ac:dyDescent="0.2">
      <c r="A32" s="6" t="s">
        <v>130</v>
      </c>
      <c r="B32" s="8">
        <v>178600</v>
      </c>
      <c r="C32" s="10">
        <v>133100</v>
      </c>
      <c r="D32" s="27">
        <v>10</v>
      </c>
      <c r="E32" s="29">
        <v>17</v>
      </c>
      <c r="F32" s="29">
        <v>73</v>
      </c>
      <c r="G32" s="30">
        <f t="shared" si="17"/>
        <v>13310</v>
      </c>
      <c r="H32" s="30">
        <f t="shared" si="18"/>
        <v>22627</v>
      </c>
      <c r="I32" s="30">
        <f t="shared" si="19"/>
        <v>97163</v>
      </c>
      <c r="J32" s="11"/>
      <c r="K32" s="38"/>
      <c r="L32" s="16">
        <f t="shared" si="3"/>
        <v>1.23783</v>
      </c>
      <c r="M32" s="16">
        <f t="shared" si="4"/>
        <v>2.1495649999999999</v>
      </c>
      <c r="N32" s="16">
        <f t="shared" si="5"/>
        <v>5.8297800000000004</v>
      </c>
      <c r="O32" s="16">
        <f t="shared" si="6"/>
        <v>9.2171749999999992</v>
      </c>
      <c r="P32" s="30">
        <f t="shared" si="7"/>
        <v>7090.1346154000003</v>
      </c>
      <c r="Q32" s="30">
        <f t="shared" si="8"/>
        <v>9217.1749999999993</v>
      </c>
      <c r="R32" s="30">
        <f t="shared" si="9"/>
        <v>8153.6548076999998</v>
      </c>
      <c r="S32" s="16">
        <v>71.409766719317176</v>
      </c>
      <c r="T32" s="16">
        <f t="shared" si="10"/>
        <v>80.626941719317173</v>
      </c>
    </row>
    <row r="33" spans="1:20" x14ac:dyDescent="0.2">
      <c r="A33" s="6" t="s">
        <v>134</v>
      </c>
      <c r="B33" s="8">
        <v>48172300</v>
      </c>
      <c r="C33" s="9">
        <v>45600000</v>
      </c>
      <c r="D33" s="19">
        <v>13.7</v>
      </c>
      <c r="E33" s="19">
        <v>23.4</v>
      </c>
      <c r="F33" s="19">
        <v>62.9</v>
      </c>
      <c r="G33" s="30">
        <f t="shared" si="17"/>
        <v>6247200</v>
      </c>
      <c r="H33" s="30">
        <f t="shared" si="18"/>
        <v>10670400</v>
      </c>
      <c r="I33" s="30">
        <f t="shared" si="19"/>
        <v>28682400</v>
      </c>
      <c r="J33" s="11">
        <v>1433</v>
      </c>
      <c r="K33" s="38">
        <v>506528</v>
      </c>
      <c r="L33" s="16">
        <f t="shared" si="3"/>
        <v>580.9896</v>
      </c>
      <c r="M33" s="16">
        <f t="shared" si="4"/>
        <v>1013.688</v>
      </c>
      <c r="N33" s="16">
        <f t="shared" si="5"/>
        <v>1720.944</v>
      </c>
      <c r="O33" s="16">
        <f t="shared" si="6"/>
        <v>3315.6215999999999</v>
      </c>
      <c r="P33" s="30">
        <f t="shared" si="7"/>
        <v>2550478.1538462001</v>
      </c>
      <c r="Q33" s="30">
        <f t="shared" si="8"/>
        <v>3315621.6</v>
      </c>
      <c r="R33" s="30">
        <f t="shared" si="9"/>
        <v>2933049.8769231001</v>
      </c>
      <c r="S33" s="16">
        <v>19260.765427396211</v>
      </c>
      <c r="T33" s="16">
        <f t="shared" si="10"/>
        <v>22576.387027396209</v>
      </c>
    </row>
    <row r="34" spans="1:20" x14ac:dyDescent="0.2">
      <c r="A34" s="6" t="s">
        <v>140</v>
      </c>
      <c r="B34" s="8">
        <v>4521</v>
      </c>
      <c r="C34" s="7"/>
      <c r="D34" s="22">
        <v>4</v>
      </c>
      <c r="E34" s="23">
        <v>6</v>
      </c>
      <c r="F34" s="23">
        <v>90</v>
      </c>
      <c r="G34" s="30">
        <f>ROUND(D34/100*B34,2)</f>
        <v>180.84</v>
      </c>
      <c r="H34" s="30">
        <f>ROUND(E34/100*B34,2)</f>
        <v>271.26</v>
      </c>
      <c r="I34" s="30">
        <f>ROUND(F34/100*B34,2)</f>
        <v>4068.9</v>
      </c>
      <c r="J34" s="11"/>
      <c r="K34" s="38"/>
      <c r="L34" s="16">
        <f t="shared" si="3"/>
        <v>1.6818099999999999E-2</v>
      </c>
      <c r="M34" s="16">
        <f t="shared" si="4"/>
        <v>2.57697E-2</v>
      </c>
      <c r="N34" s="16">
        <f t="shared" si="5"/>
        <v>0.24413399999999999</v>
      </c>
      <c r="O34" s="16">
        <f t="shared" si="6"/>
        <v>0.28672180000000003</v>
      </c>
      <c r="P34" s="30">
        <f t="shared" si="7"/>
        <v>220.5552308</v>
      </c>
      <c r="Q34" s="30">
        <f t="shared" si="8"/>
        <v>286.72179999999997</v>
      </c>
      <c r="R34" s="30">
        <f t="shared" si="9"/>
        <v>253.63851539999999</v>
      </c>
      <c r="S34" s="16">
        <v>1.8076346883428496</v>
      </c>
      <c r="T34" s="16">
        <f t="shared" si="10"/>
        <v>2.0943564883428496</v>
      </c>
    </row>
    <row r="35" spans="1:20" x14ac:dyDescent="0.2">
      <c r="A35" s="6" t="s">
        <v>148</v>
      </c>
      <c r="B35" s="9">
        <v>68800</v>
      </c>
      <c r="C35" s="9">
        <v>62000</v>
      </c>
      <c r="D35" s="21">
        <v>1.1000000000000001</v>
      </c>
      <c r="E35" s="21">
        <v>17.600000000000001</v>
      </c>
      <c r="F35" s="21">
        <v>81.3</v>
      </c>
      <c r="G35" s="30">
        <f t="shared" ref="G35:G40" si="20">ROUND(D35/100*C35,2)</f>
        <v>682</v>
      </c>
      <c r="H35" s="30">
        <f t="shared" ref="H35:H40" si="21">ROUND(E35/100*C35,2)</f>
        <v>10912</v>
      </c>
      <c r="I35" s="30">
        <f t="shared" ref="I35:I40" si="22">ROUND(F35/100*C35,2)</f>
        <v>50406</v>
      </c>
      <c r="J35" s="11"/>
      <c r="K35" s="38"/>
      <c r="L35" s="16">
        <f t="shared" si="3"/>
        <v>6.3425999999999996E-2</v>
      </c>
      <c r="M35" s="16">
        <f t="shared" si="4"/>
        <v>1.03664</v>
      </c>
      <c r="N35" s="16">
        <f t="shared" si="5"/>
        <v>3.0243600000000002</v>
      </c>
      <c r="O35" s="16">
        <f t="shared" si="6"/>
        <v>4.1244259999999997</v>
      </c>
      <c r="P35" s="30">
        <f t="shared" si="7"/>
        <v>3172.6353846000002</v>
      </c>
      <c r="Q35" s="30">
        <f t="shared" si="8"/>
        <v>4124.4260000000004</v>
      </c>
      <c r="R35" s="30">
        <f t="shared" si="9"/>
        <v>3648.5306922999998</v>
      </c>
      <c r="S35" s="16">
        <v>27.508353585044915</v>
      </c>
      <c r="T35" s="16">
        <f t="shared" si="10"/>
        <v>31.632779585044915</v>
      </c>
    </row>
    <row r="36" spans="1:20" x14ac:dyDescent="0.2">
      <c r="A36" s="6" t="s">
        <v>151</v>
      </c>
      <c r="B36" s="8">
        <v>2811800</v>
      </c>
      <c r="C36" s="9">
        <v>2591700</v>
      </c>
      <c r="D36" s="19">
        <v>28</v>
      </c>
      <c r="E36" s="19">
        <v>19</v>
      </c>
      <c r="F36" s="19">
        <v>53</v>
      </c>
      <c r="G36" s="30">
        <f t="shared" si="20"/>
        <v>725676</v>
      </c>
      <c r="H36" s="30">
        <f t="shared" si="21"/>
        <v>492423</v>
      </c>
      <c r="I36" s="30">
        <f t="shared" si="22"/>
        <v>1373601</v>
      </c>
      <c r="J36" s="11">
        <v>42</v>
      </c>
      <c r="K36" s="38">
        <v>25838</v>
      </c>
      <c r="L36" s="16">
        <f t="shared" si="3"/>
        <v>67.487868000000006</v>
      </c>
      <c r="M36" s="16">
        <f t="shared" si="4"/>
        <v>46.780185000000003</v>
      </c>
      <c r="N36" s="16">
        <f t="shared" si="5"/>
        <v>82.416060000000002</v>
      </c>
      <c r="O36" s="16">
        <f t="shared" si="6"/>
        <v>196.684113</v>
      </c>
      <c r="P36" s="30">
        <f t="shared" si="7"/>
        <v>151295.47153849999</v>
      </c>
      <c r="Q36" s="30">
        <f t="shared" si="8"/>
        <v>196684.11300000001</v>
      </c>
      <c r="R36" s="30">
        <f t="shared" si="9"/>
        <v>173989.7922693</v>
      </c>
      <c r="S36" s="16">
        <v>1124.2440205004257</v>
      </c>
      <c r="T36" s="16">
        <f t="shared" si="10"/>
        <v>1320.9281335004257</v>
      </c>
    </row>
    <row r="37" spans="1:20" x14ac:dyDescent="0.2">
      <c r="A37" s="6" t="s">
        <v>161</v>
      </c>
      <c r="B37" s="8">
        <v>1557000</v>
      </c>
      <c r="C37" s="9">
        <v>1455600</v>
      </c>
      <c r="D37" s="19">
        <v>17.399999999999999</v>
      </c>
      <c r="E37" s="19">
        <v>18.7</v>
      </c>
      <c r="F37" s="19">
        <v>63.9</v>
      </c>
      <c r="G37" s="30">
        <f t="shared" si="20"/>
        <v>253274.4</v>
      </c>
      <c r="H37" s="30">
        <f t="shared" si="21"/>
        <v>272197.2</v>
      </c>
      <c r="I37" s="30">
        <f t="shared" si="22"/>
        <v>930128.4</v>
      </c>
      <c r="J37" s="11">
        <v>12</v>
      </c>
      <c r="K37" s="38">
        <v>40</v>
      </c>
      <c r="L37" s="16">
        <f t="shared" si="3"/>
        <v>23.554519200000001</v>
      </c>
      <c r="M37" s="16">
        <f t="shared" si="4"/>
        <v>25.858733999999998</v>
      </c>
      <c r="N37" s="16">
        <f t="shared" si="5"/>
        <v>55.807704000000001</v>
      </c>
      <c r="O37" s="16">
        <f t="shared" si="6"/>
        <v>105.2209572</v>
      </c>
      <c r="P37" s="30">
        <f t="shared" si="7"/>
        <v>80939.197846199997</v>
      </c>
      <c r="Q37" s="30">
        <f t="shared" si="8"/>
        <v>105220.9572</v>
      </c>
      <c r="R37" s="30">
        <f t="shared" si="9"/>
        <v>93080.077523100001</v>
      </c>
      <c r="S37" s="16">
        <v>622.53643214992633</v>
      </c>
      <c r="T37" s="16">
        <f t="shared" si="10"/>
        <v>727.75738934992637</v>
      </c>
    </row>
    <row r="38" spans="1:20" x14ac:dyDescent="0.2">
      <c r="A38" s="6" t="s">
        <v>163</v>
      </c>
      <c r="B38" s="8">
        <v>3094300</v>
      </c>
      <c r="C38" s="9">
        <v>2918700</v>
      </c>
      <c r="D38" s="19">
        <v>26.8</v>
      </c>
      <c r="E38" s="19">
        <v>18.8</v>
      </c>
      <c r="F38" s="19">
        <v>54.3</v>
      </c>
      <c r="G38" s="30">
        <f t="shared" si="20"/>
        <v>782211.6</v>
      </c>
      <c r="H38" s="30">
        <f t="shared" si="21"/>
        <v>548715.6</v>
      </c>
      <c r="I38" s="30">
        <f t="shared" si="22"/>
        <v>1584854.1</v>
      </c>
      <c r="J38" s="11"/>
      <c r="K38" s="38"/>
      <c r="L38" s="16">
        <f t="shared" si="3"/>
        <v>72.745678799999993</v>
      </c>
      <c r="M38" s="16">
        <f t="shared" si="4"/>
        <v>52.127982000000003</v>
      </c>
      <c r="N38" s="16">
        <f t="shared" si="5"/>
        <v>95.091245999999998</v>
      </c>
      <c r="O38" s="16">
        <f t="shared" si="6"/>
        <v>219.96490679999999</v>
      </c>
      <c r="P38" s="30">
        <f t="shared" si="7"/>
        <v>169203.7744615</v>
      </c>
      <c r="Q38" s="30">
        <f t="shared" si="8"/>
        <v>219964.9068</v>
      </c>
      <c r="R38" s="30">
        <f t="shared" si="9"/>
        <v>194584.3406308</v>
      </c>
      <c r="S38" s="16">
        <v>1237.1961991018093</v>
      </c>
      <c r="T38" s="16">
        <f t="shared" si="10"/>
        <v>1457.1611059018092</v>
      </c>
    </row>
    <row r="39" spans="1:20" x14ac:dyDescent="0.2">
      <c r="A39" s="6" t="s">
        <v>164</v>
      </c>
      <c r="B39" s="8">
        <v>15676300</v>
      </c>
      <c r="C39" s="9">
        <v>15030500</v>
      </c>
      <c r="D39" s="19">
        <v>0.9</v>
      </c>
      <c r="E39" s="19">
        <v>23.7</v>
      </c>
      <c r="F39" s="19">
        <v>75.400000000000006</v>
      </c>
      <c r="G39" s="30">
        <f t="shared" si="20"/>
        <v>135274.5</v>
      </c>
      <c r="H39" s="30">
        <f t="shared" si="21"/>
        <v>3562228.5</v>
      </c>
      <c r="I39" s="30">
        <f t="shared" si="22"/>
        <v>11332997</v>
      </c>
      <c r="J39" s="11"/>
      <c r="K39" s="38">
        <v>50</v>
      </c>
      <c r="L39" s="16">
        <f t="shared" si="3"/>
        <v>12.5805285</v>
      </c>
      <c r="M39" s="16">
        <f t="shared" si="4"/>
        <v>338.41170749999998</v>
      </c>
      <c r="N39" s="16">
        <f t="shared" si="5"/>
        <v>679.97982000000002</v>
      </c>
      <c r="O39" s="16">
        <f t="shared" si="6"/>
        <v>1030.9720560000001</v>
      </c>
      <c r="P39" s="30">
        <f t="shared" si="7"/>
        <v>793055.42769230006</v>
      </c>
      <c r="Q39" s="30">
        <f t="shared" si="8"/>
        <v>1030972.056</v>
      </c>
      <c r="R39" s="30">
        <f t="shared" si="9"/>
        <v>912013.74184619996</v>
      </c>
      <c r="S39" s="16">
        <v>6267.8663271110408</v>
      </c>
      <c r="T39" s="16">
        <f t="shared" si="10"/>
        <v>7298.8383831110405</v>
      </c>
    </row>
    <row r="40" spans="1:20" x14ac:dyDescent="0.2">
      <c r="A40" s="6" t="s">
        <v>168</v>
      </c>
      <c r="B40" s="9">
        <v>1311065</v>
      </c>
      <c r="C40" s="9">
        <v>1209000</v>
      </c>
      <c r="D40" s="19">
        <v>2.1</v>
      </c>
      <c r="E40" s="19">
        <v>19</v>
      </c>
      <c r="F40" s="19">
        <v>79</v>
      </c>
      <c r="G40" s="30">
        <f t="shared" si="20"/>
        <v>25389</v>
      </c>
      <c r="H40" s="30">
        <f t="shared" si="21"/>
        <v>229710</v>
      </c>
      <c r="I40" s="30">
        <f t="shared" si="22"/>
        <v>955110</v>
      </c>
      <c r="J40" s="11"/>
      <c r="K40" s="38"/>
      <c r="L40" s="16">
        <f t="shared" si="3"/>
        <v>2.3611770000000001</v>
      </c>
      <c r="M40" s="16">
        <f t="shared" si="4"/>
        <v>21.82245</v>
      </c>
      <c r="N40" s="16">
        <f t="shared" si="5"/>
        <v>57.306600000000003</v>
      </c>
      <c r="O40" s="16">
        <f t="shared" si="6"/>
        <v>81.490227000000004</v>
      </c>
      <c r="P40" s="30">
        <f t="shared" si="7"/>
        <v>62684.79</v>
      </c>
      <c r="Q40" s="30">
        <f t="shared" si="8"/>
        <v>81490.226999999999</v>
      </c>
      <c r="R40" s="30">
        <f t="shared" si="9"/>
        <v>72087.508499999996</v>
      </c>
      <c r="S40" s="16">
        <v>524.2040638514087</v>
      </c>
      <c r="T40" s="16">
        <f t="shared" si="10"/>
        <v>605.69429085140871</v>
      </c>
    </row>
    <row r="41" spans="1:20" x14ac:dyDescent="0.2">
      <c r="A41" s="6" t="s">
        <v>175</v>
      </c>
      <c r="B41" s="8">
        <v>18170</v>
      </c>
      <c r="C41" s="7"/>
      <c r="D41" s="22">
        <v>46</v>
      </c>
      <c r="E41" s="23">
        <v>24</v>
      </c>
      <c r="F41" s="23">
        <v>30</v>
      </c>
      <c r="G41" s="30">
        <f>ROUND(D41/100*B41,2)</f>
        <v>8358.2000000000007</v>
      </c>
      <c r="H41" s="30">
        <f>ROUND(E41/100*B41,2)</f>
        <v>4360.8</v>
      </c>
      <c r="I41" s="30">
        <f>ROUND(F41/100*B41,2)</f>
        <v>5451</v>
      </c>
      <c r="J41" s="11"/>
      <c r="K41" s="38"/>
      <c r="L41" s="16">
        <f t="shared" si="3"/>
        <v>0.77731260000000002</v>
      </c>
      <c r="M41" s="16">
        <f t="shared" si="4"/>
        <v>0.41427599999999998</v>
      </c>
      <c r="N41" s="16">
        <f t="shared" si="5"/>
        <v>0.32706000000000002</v>
      </c>
      <c r="O41" s="16">
        <f t="shared" si="6"/>
        <v>1.5186485999999999</v>
      </c>
      <c r="P41" s="30">
        <f t="shared" si="7"/>
        <v>1168.1912308000001</v>
      </c>
      <c r="Q41" s="30">
        <f t="shared" si="8"/>
        <v>1518.6486</v>
      </c>
      <c r="R41" s="30">
        <f t="shared" si="9"/>
        <v>1343.4199154</v>
      </c>
      <c r="S41" s="16">
        <v>7.2649241953527053</v>
      </c>
      <c r="T41" s="16">
        <f t="shared" si="10"/>
        <v>8.7835727953527059</v>
      </c>
    </row>
    <row r="42" spans="1:20" x14ac:dyDescent="0.2">
      <c r="A42" s="6" t="s">
        <v>176</v>
      </c>
      <c r="B42" s="7">
        <v>93083</v>
      </c>
      <c r="C42" s="7">
        <v>62300</v>
      </c>
      <c r="D42" s="19">
        <v>16.5</v>
      </c>
      <c r="E42" s="19">
        <v>17.7</v>
      </c>
      <c r="F42" s="19">
        <v>65.8</v>
      </c>
      <c r="G42" s="30">
        <f>ROUND(D42/100*C42,2)</f>
        <v>10279.5</v>
      </c>
      <c r="H42" s="30">
        <f>ROUND(E42/100*C42,2)</f>
        <v>11027.1</v>
      </c>
      <c r="I42" s="30">
        <f>ROUND(F42/100*C42,2)</f>
        <v>40993.4</v>
      </c>
      <c r="J42" s="11"/>
      <c r="K42" s="38"/>
      <c r="L42" s="16">
        <f t="shared" si="3"/>
        <v>0.95599350000000005</v>
      </c>
      <c r="M42" s="16">
        <f t="shared" si="4"/>
        <v>1.0475745000000001</v>
      </c>
      <c r="N42" s="16">
        <f t="shared" si="5"/>
        <v>2.4596040000000001</v>
      </c>
      <c r="O42" s="16">
        <f t="shared" si="6"/>
        <v>4.4631720000000001</v>
      </c>
      <c r="P42" s="30">
        <f t="shared" si="7"/>
        <v>3433.2092308000001</v>
      </c>
      <c r="Q42" s="30">
        <f t="shared" si="8"/>
        <v>4463.1719999999996</v>
      </c>
      <c r="R42" s="30">
        <f t="shared" si="9"/>
        <v>3948.1906153999998</v>
      </c>
      <c r="S42" s="16">
        <v>37.217442976115343</v>
      </c>
      <c r="T42" s="16">
        <f t="shared" si="10"/>
        <v>41.680614976115343</v>
      </c>
    </row>
    <row r="43" spans="1:20" x14ac:dyDescent="0.2">
      <c r="A43" s="6" t="s">
        <v>177</v>
      </c>
      <c r="B43" s="8">
        <v>3194</v>
      </c>
      <c r="C43" s="7"/>
      <c r="D43" s="19">
        <v>18</v>
      </c>
      <c r="E43" s="19">
        <v>41</v>
      </c>
      <c r="F43" s="19">
        <v>41</v>
      </c>
      <c r="G43" s="30">
        <f t="shared" ref="G43:G44" si="23">ROUND(D43/100*B43,2)</f>
        <v>574.91999999999996</v>
      </c>
      <c r="H43" s="30">
        <f t="shared" ref="H43:H44" si="24">ROUND(E43/100*B43,2)</f>
        <v>1309.54</v>
      </c>
      <c r="I43" s="30">
        <f t="shared" ref="I43:I44" si="25">ROUND(F43/100*B43,2)</f>
        <v>1309.54</v>
      </c>
      <c r="J43" s="11"/>
      <c r="K43" s="38"/>
      <c r="L43" s="16">
        <f t="shared" si="3"/>
        <v>5.3467599999999997E-2</v>
      </c>
      <c r="M43" s="16">
        <f t="shared" si="4"/>
        <v>0.1244063</v>
      </c>
      <c r="N43" s="16">
        <f t="shared" si="5"/>
        <v>7.8572400000000001E-2</v>
      </c>
      <c r="O43" s="16">
        <f t="shared" si="6"/>
        <v>0.25644630000000002</v>
      </c>
      <c r="P43" s="30">
        <f t="shared" si="7"/>
        <v>197.26638460000001</v>
      </c>
      <c r="Q43" s="30">
        <f t="shared" si="8"/>
        <v>256.44630000000001</v>
      </c>
      <c r="R43" s="30">
        <f t="shared" si="9"/>
        <v>226.85634229999999</v>
      </c>
      <c r="S43" s="16">
        <v>1.2770593219568818</v>
      </c>
      <c r="T43" s="16">
        <f t="shared" si="10"/>
        <v>1.5335056219568819</v>
      </c>
    </row>
    <row r="44" spans="1:20" x14ac:dyDescent="0.2">
      <c r="A44" s="6" t="s">
        <v>178</v>
      </c>
      <c r="B44" s="7">
        <v>53907</v>
      </c>
      <c r="C44" s="7"/>
      <c r="D44" s="19">
        <v>26</v>
      </c>
      <c r="E44" s="19">
        <v>17</v>
      </c>
      <c r="F44" s="19">
        <v>57</v>
      </c>
      <c r="G44" s="30">
        <f t="shared" si="23"/>
        <v>14015.82</v>
      </c>
      <c r="H44" s="30">
        <f t="shared" si="24"/>
        <v>9164.19</v>
      </c>
      <c r="I44" s="30">
        <f t="shared" si="25"/>
        <v>30726.99</v>
      </c>
      <c r="J44" s="11"/>
      <c r="K44" s="38"/>
      <c r="L44" s="16">
        <f t="shared" si="3"/>
        <v>1.3034713</v>
      </c>
      <c r="M44" s="16">
        <f t="shared" si="4"/>
        <v>0.87059810000000004</v>
      </c>
      <c r="N44" s="16">
        <f t="shared" si="5"/>
        <v>1.8436193999999999</v>
      </c>
      <c r="O44" s="16">
        <f t="shared" si="6"/>
        <v>4.0176888000000002</v>
      </c>
      <c r="P44" s="30">
        <f t="shared" si="7"/>
        <v>3090.5298462000001</v>
      </c>
      <c r="Q44" s="30">
        <f t="shared" si="8"/>
        <v>4017.6887999999999</v>
      </c>
      <c r="R44" s="30">
        <f t="shared" si="9"/>
        <v>3554.1093231</v>
      </c>
      <c r="S44" s="16">
        <v>21.553674661468261</v>
      </c>
      <c r="T44" s="16">
        <f t="shared" si="10"/>
        <v>25.571363461468259</v>
      </c>
    </row>
    <row r="45" spans="1:20" x14ac:dyDescent="0.2">
      <c r="A45" s="6" t="s">
        <v>196</v>
      </c>
      <c r="B45" s="8">
        <v>142100</v>
      </c>
      <c r="C45" s="7">
        <v>131400</v>
      </c>
      <c r="D45" s="19">
        <v>8</v>
      </c>
      <c r="E45" s="19">
        <v>14</v>
      </c>
      <c r="F45" s="19">
        <v>78</v>
      </c>
      <c r="G45" s="30">
        <f t="shared" ref="G45:G49" si="26">ROUND(D45/100*C45,2)</f>
        <v>10512</v>
      </c>
      <c r="H45" s="30">
        <f t="shared" ref="H45:H49" si="27">ROUND(E45/100*C45,2)</f>
        <v>18396</v>
      </c>
      <c r="I45" s="30">
        <f t="shared" ref="I45:I49" si="28">ROUND(F45/100*C45,2)</f>
        <v>102492</v>
      </c>
      <c r="J45" s="11"/>
      <c r="K45" s="38"/>
      <c r="L45" s="16">
        <f t="shared" si="3"/>
        <v>0.97761600000000004</v>
      </c>
      <c r="M45" s="16">
        <f t="shared" si="4"/>
        <v>1.74762</v>
      </c>
      <c r="N45" s="16">
        <f t="shared" si="5"/>
        <v>6.1495199999999999</v>
      </c>
      <c r="O45" s="16">
        <f t="shared" si="6"/>
        <v>8.8747559999999996</v>
      </c>
      <c r="P45" s="30">
        <f t="shared" si="7"/>
        <v>6826.7353845999996</v>
      </c>
      <c r="Q45" s="30">
        <f t="shared" si="8"/>
        <v>8874.7559999999994</v>
      </c>
      <c r="R45" s="30">
        <f t="shared" si="9"/>
        <v>7850.7456923</v>
      </c>
      <c r="S45" s="16">
        <v>56.815945413297712</v>
      </c>
      <c r="T45" s="16">
        <f t="shared" si="10"/>
        <v>65.690701413297717</v>
      </c>
    </row>
    <row r="46" spans="1:20" x14ac:dyDescent="0.2">
      <c r="A46" s="12" t="s">
        <v>209</v>
      </c>
      <c r="B46" s="8">
        <v>618800</v>
      </c>
      <c r="C46" s="7">
        <v>582100</v>
      </c>
      <c r="D46" s="19">
        <v>3.8</v>
      </c>
      <c r="E46" s="19">
        <v>33.200000000000003</v>
      </c>
      <c r="F46" s="19">
        <v>62.9</v>
      </c>
      <c r="G46" s="30">
        <f t="shared" si="26"/>
        <v>22119.8</v>
      </c>
      <c r="H46" s="30">
        <f t="shared" si="27"/>
        <v>193257.2</v>
      </c>
      <c r="I46" s="30">
        <f t="shared" si="28"/>
        <v>366140.9</v>
      </c>
      <c r="J46" s="11">
        <v>9</v>
      </c>
      <c r="K46" s="135">
        <v>833</v>
      </c>
      <c r="L46" s="16">
        <f t="shared" si="3"/>
        <v>2.0571413999999999</v>
      </c>
      <c r="M46" s="16">
        <f t="shared" si="4"/>
        <v>18.359434</v>
      </c>
      <c r="N46" s="16">
        <f t="shared" si="5"/>
        <v>21.968454000000001</v>
      </c>
      <c r="O46" s="16">
        <f t="shared" si="6"/>
        <v>42.385029400000001</v>
      </c>
      <c r="P46" s="30">
        <f t="shared" si="7"/>
        <v>32603.868769199998</v>
      </c>
      <c r="Q46" s="30">
        <f t="shared" si="8"/>
        <v>42385.029399999999</v>
      </c>
      <c r="R46" s="30">
        <f t="shared" si="9"/>
        <v>37494.449084599997</v>
      </c>
      <c r="S46" s="16">
        <v>247.41524997711912</v>
      </c>
      <c r="T46" s="16">
        <f t="shared" si="10"/>
        <v>289.80027937711913</v>
      </c>
    </row>
    <row r="47" spans="1:20" x14ac:dyDescent="0.2">
      <c r="A47" s="6" t="s">
        <v>213</v>
      </c>
      <c r="B47" s="7">
        <v>20700</v>
      </c>
      <c r="C47" s="7">
        <v>19600</v>
      </c>
      <c r="D47" s="21">
        <v>1.4</v>
      </c>
      <c r="E47" s="21">
        <v>23.7</v>
      </c>
      <c r="F47" s="21">
        <v>74.900000000000006</v>
      </c>
      <c r="G47" s="30">
        <f t="shared" si="26"/>
        <v>274.39999999999998</v>
      </c>
      <c r="H47" s="30">
        <f t="shared" si="27"/>
        <v>4645.2</v>
      </c>
      <c r="I47" s="30">
        <f t="shared" si="28"/>
        <v>14680.4</v>
      </c>
      <c r="J47" s="11"/>
      <c r="K47" s="38"/>
      <c r="L47" s="16">
        <f t="shared" si="3"/>
        <v>2.5519199999999999E-2</v>
      </c>
      <c r="M47" s="16">
        <f t="shared" si="4"/>
        <v>0.44129400000000002</v>
      </c>
      <c r="N47" s="16">
        <f t="shared" si="5"/>
        <v>0.88082400000000005</v>
      </c>
      <c r="O47" s="16">
        <f t="shared" si="6"/>
        <v>1.3476372000000001</v>
      </c>
      <c r="P47" s="30">
        <f t="shared" si="7"/>
        <v>1036.644</v>
      </c>
      <c r="Q47" s="30">
        <f t="shared" si="8"/>
        <v>1347.6371999999999</v>
      </c>
      <c r="R47" s="30">
        <f t="shared" si="9"/>
        <v>1192.1405999999999</v>
      </c>
      <c r="S47" s="16">
        <v>8.2764959187562468</v>
      </c>
      <c r="T47" s="16">
        <f t="shared" si="10"/>
        <v>9.6241331187562462</v>
      </c>
    </row>
    <row r="48" spans="1:20" x14ac:dyDescent="0.2">
      <c r="A48" s="6" t="s">
        <v>220</v>
      </c>
      <c r="B48" s="8">
        <v>1676400</v>
      </c>
      <c r="C48" s="9">
        <v>1562300</v>
      </c>
      <c r="D48" s="19">
        <v>13</v>
      </c>
      <c r="E48" s="19">
        <v>14</v>
      </c>
      <c r="F48" s="19">
        <v>73</v>
      </c>
      <c r="G48" s="30">
        <f t="shared" si="26"/>
        <v>203099</v>
      </c>
      <c r="H48" s="30">
        <f t="shared" si="27"/>
        <v>218722</v>
      </c>
      <c r="I48" s="30">
        <f t="shared" si="28"/>
        <v>1140479</v>
      </c>
      <c r="J48" s="11"/>
      <c r="K48" s="38"/>
      <c r="L48" s="16">
        <f t="shared" si="3"/>
        <v>18.888207000000001</v>
      </c>
      <c r="M48" s="16">
        <f t="shared" si="4"/>
        <v>20.778590000000001</v>
      </c>
      <c r="N48" s="16">
        <f t="shared" si="5"/>
        <v>68.428740000000005</v>
      </c>
      <c r="O48" s="16">
        <f t="shared" si="6"/>
        <v>108.09553699999999</v>
      </c>
      <c r="P48" s="30">
        <f t="shared" si="7"/>
        <v>83150.413076900004</v>
      </c>
      <c r="Q48" s="30">
        <f t="shared" si="8"/>
        <v>108095.537</v>
      </c>
      <c r="R48" s="30">
        <f t="shared" si="9"/>
        <v>95622.975038499993</v>
      </c>
      <c r="S48" s="16">
        <v>670.27622020304204</v>
      </c>
      <c r="T48" s="16">
        <f t="shared" si="10"/>
        <v>778.37175720304208</v>
      </c>
    </row>
    <row r="49" spans="1:20" x14ac:dyDescent="0.2">
      <c r="A49" s="6" t="s">
        <v>223</v>
      </c>
      <c r="B49" s="8">
        <v>13272600</v>
      </c>
      <c r="C49" s="9">
        <v>12140700</v>
      </c>
      <c r="D49" s="19">
        <v>7.3</v>
      </c>
      <c r="E49" s="19">
        <v>21.8</v>
      </c>
      <c r="F49" s="19">
        <v>70.900000000000006</v>
      </c>
      <c r="G49" s="30">
        <f t="shared" si="26"/>
        <v>886271.1</v>
      </c>
      <c r="H49" s="30">
        <f t="shared" si="27"/>
        <v>2646672.6</v>
      </c>
      <c r="I49" s="30">
        <f t="shared" si="28"/>
        <v>8607756.3000000007</v>
      </c>
      <c r="J49" s="11">
        <v>330</v>
      </c>
      <c r="K49" s="134">
        <v>56087</v>
      </c>
      <c r="L49" s="16">
        <f t="shared" si="3"/>
        <v>82.423212300000003</v>
      </c>
      <c r="M49" s="16">
        <f t="shared" si="4"/>
        <v>251.433897</v>
      </c>
      <c r="N49" s="16">
        <f t="shared" si="5"/>
        <v>516.46537799999999</v>
      </c>
      <c r="O49" s="16">
        <f t="shared" si="6"/>
        <v>850.32248730000003</v>
      </c>
      <c r="P49" s="30">
        <f t="shared" si="7"/>
        <v>654094.22100000002</v>
      </c>
      <c r="Q49" s="30">
        <f t="shared" si="8"/>
        <v>850322.48730000004</v>
      </c>
      <c r="R49" s="30">
        <f t="shared" si="9"/>
        <v>752208.35415000003</v>
      </c>
      <c r="S49" s="16">
        <v>5306.7932237335344</v>
      </c>
      <c r="T49" s="16">
        <f t="shared" si="10"/>
        <v>6157.1157110335344</v>
      </c>
    </row>
    <row r="50" spans="1:20" s="5" customFormat="1" x14ac:dyDescent="0.2">
      <c r="A50" s="32" t="s">
        <v>231</v>
      </c>
      <c r="B50" s="31">
        <f>SUM(B4:B49)</f>
        <v>279490780</v>
      </c>
      <c r="C50" s="31">
        <f>SUM(C4:C49)</f>
        <v>248755700</v>
      </c>
      <c r="D50" s="32"/>
      <c r="E50" s="32"/>
      <c r="F50" s="32"/>
      <c r="G50" s="33">
        <f>ROUND(SUM(G4:G49),2)</f>
        <v>39955118.579999998</v>
      </c>
      <c r="H50" s="33">
        <f>ROUND(SUM(H4:H49),2)</f>
        <v>47177223.009999998</v>
      </c>
      <c r="I50" s="33">
        <f>ROUND(SUM(I4:I49),2)</f>
        <v>170587536.00999999</v>
      </c>
      <c r="J50" s="31">
        <f>SUM(J6:J49)</f>
        <v>3096</v>
      </c>
      <c r="K50" s="31">
        <f>SUM(K6:K49)</f>
        <v>1184336</v>
      </c>
      <c r="L50" s="31">
        <f t="shared" ref="L50:R50" si="29">ROUND(SUM(L4:L49),7)</f>
        <v>3715.826028</v>
      </c>
      <c r="M50" s="31">
        <f t="shared" si="29"/>
        <v>4481.8361860000005</v>
      </c>
      <c r="N50" s="31">
        <f t="shared" si="29"/>
        <v>10235.252160599999</v>
      </c>
      <c r="O50" s="31">
        <f t="shared" si="29"/>
        <v>18432.914374600001</v>
      </c>
      <c r="P50" s="33">
        <f t="shared" si="29"/>
        <v>14179164.903538501</v>
      </c>
      <c r="Q50" s="33">
        <f t="shared" si="29"/>
        <v>18432914.374600001</v>
      </c>
      <c r="R50" s="33">
        <f t="shared" si="29"/>
        <v>16306039.6390702</v>
      </c>
      <c r="S50" s="31">
        <v>111749</v>
      </c>
      <c r="T50" s="31">
        <f t="shared" si="10"/>
        <v>130181.9143746</v>
      </c>
    </row>
    <row r="51" spans="1:20" x14ac:dyDescent="0.2">
      <c r="G51" s="20"/>
      <c r="H51" s="20"/>
      <c r="I51" s="20"/>
      <c r="N51" s="16"/>
    </row>
    <row r="52" spans="1:20" x14ac:dyDescent="0.2">
      <c r="G52" s="20"/>
      <c r="H52" s="20"/>
      <c r="I52" s="20"/>
    </row>
    <row r="53" spans="1:20" x14ac:dyDescent="0.2">
      <c r="G53" s="20"/>
      <c r="H53" s="20"/>
      <c r="I53" s="20"/>
    </row>
    <row r="54" spans="1:20" x14ac:dyDescent="0.2">
      <c r="G54" s="20"/>
      <c r="H54" s="20"/>
      <c r="I54" s="20"/>
    </row>
    <row r="55" spans="1:20" x14ac:dyDescent="0.2">
      <c r="G55" s="20"/>
      <c r="H55" s="20"/>
      <c r="I55" s="20"/>
    </row>
    <row r="56" spans="1:20" x14ac:dyDescent="0.2">
      <c r="G56" s="20"/>
      <c r="H56" s="20"/>
      <c r="I56" s="20"/>
    </row>
    <row r="57" spans="1:20" x14ac:dyDescent="0.2">
      <c r="G57" s="20"/>
      <c r="H57" s="20"/>
      <c r="I57" s="20"/>
    </row>
    <row r="58" spans="1:20" x14ac:dyDescent="0.2">
      <c r="D58" s="1"/>
      <c r="E58" s="1"/>
      <c r="F58" s="1"/>
      <c r="G58" s="20"/>
      <c r="H58" s="20"/>
      <c r="I58" s="20"/>
    </row>
    <row r="59" spans="1:20" x14ac:dyDescent="0.2">
      <c r="D59" s="1"/>
      <c r="E59" s="1"/>
      <c r="F59" s="1"/>
      <c r="G59" s="20"/>
      <c r="H59" s="20"/>
      <c r="I59" s="20"/>
    </row>
    <row r="60" spans="1:20" x14ac:dyDescent="0.2">
      <c r="D60" s="1"/>
      <c r="E60" s="1"/>
      <c r="F60" s="1"/>
      <c r="G60" s="20"/>
      <c r="H60" s="20"/>
      <c r="I60" s="20"/>
    </row>
    <row r="61" spans="1:20" x14ac:dyDescent="0.2">
      <c r="D61" s="1"/>
      <c r="E61" s="1"/>
      <c r="F61" s="1"/>
      <c r="G61" s="20"/>
      <c r="H61" s="20"/>
      <c r="I61" s="20"/>
    </row>
    <row r="62" spans="1:20" x14ac:dyDescent="0.2">
      <c r="D62" s="1"/>
      <c r="E62" s="1"/>
      <c r="F62" s="1"/>
      <c r="G62" s="20"/>
      <c r="H62" s="20"/>
      <c r="I62" s="20"/>
    </row>
    <row r="63" spans="1:20" x14ac:dyDescent="0.2">
      <c r="D63" s="1"/>
      <c r="E63" s="1"/>
      <c r="F63" s="1"/>
      <c r="G63" s="20"/>
      <c r="H63" s="20"/>
      <c r="I63" s="20"/>
    </row>
    <row r="64" spans="1:20" x14ac:dyDescent="0.2">
      <c r="D64" s="1"/>
      <c r="E64" s="1"/>
      <c r="F64" s="1"/>
      <c r="G64" s="20"/>
      <c r="H64" s="20"/>
      <c r="I64" s="20"/>
    </row>
    <row r="65" spans="4:9" x14ac:dyDescent="0.2">
      <c r="D65" s="1"/>
      <c r="E65" s="1"/>
      <c r="F65" s="1"/>
      <c r="G65" s="20"/>
      <c r="H65" s="20"/>
      <c r="I65" s="20"/>
    </row>
    <row r="66" spans="4:9" x14ac:dyDescent="0.2">
      <c r="D66" s="1"/>
      <c r="E66" s="1"/>
      <c r="F66" s="1"/>
      <c r="G66" s="20"/>
      <c r="H66" s="20"/>
      <c r="I66" s="20"/>
    </row>
    <row r="67" spans="4:9" x14ac:dyDescent="0.2">
      <c r="D67" s="1"/>
      <c r="E67" s="1"/>
      <c r="F67" s="1"/>
      <c r="G67" s="20"/>
      <c r="H67" s="20"/>
      <c r="I67" s="20"/>
    </row>
    <row r="68" spans="4:9" x14ac:dyDescent="0.2">
      <c r="D68" s="1"/>
      <c r="E68" s="1"/>
      <c r="F68" s="1"/>
      <c r="G68" s="20"/>
      <c r="H68" s="20"/>
      <c r="I68" s="20"/>
    </row>
    <row r="69" spans="4:9" x14ac:dyDescent="0.2">
      <c r="D69" s="1"/>
      <c r="E69" s="1"/>
      <c r="F69" s="1"/>
      <c r="G69" s="20"/>
      <c r="H69" s="20"/>
      <c r="I69" s="20"/>
    </row>
    <row r="70" spans="4:9" x14ac:dyDescent="0.2">
      <c r="D70" s="1"/>
      <c r="E70" s="1"/>
      <c r="F70" s="1"/>
      <c r="G70" s="20"/>
      <c r="H70" s="20"/>
      <c r="I70" s="20"/>
    </row>
    <row r="71" spans="4:9" x14ac:dyDescent="0.2">
      <c r="D71" s="1"/>
      <c r="E71" s="1"/>
      <c r="F71" s="1"/>
      <c r="G71" s="20"/>
      <c r="H71" s="20"/>
      <c r="I71" s="20"/>
    </row>
    <row r="72" spans="4:9" x14ac:dyDescent="0.2">
      <c r="D72" s="1"/>
      <c r="E72" s="1"/>
      <c r="F72" s="1"/>
      <c r="G72" s="20"/>
      <c r="H72" s="20"/>
      <c r="I72" s="20"/>
    </row>
    <row r="73" spans="4:9" x14ac:dyDescent="0.2">
      <c r="D73" s="1"/>
      <c r="E73" s="1"/>
      <c r="F73" s="1"/>
      <c r="G73" s="20"/>
      <c r="H73" s="20"/>
      <c r="I73" s="20"/>
    </row>
    <row r="74" spans="4:9" x14ac:dyDescent="0.2">
      <c r="D74" s="1"/>
      <c r="E74" s="1"/>
      <c r="F74" s="1"/>
      <c r="G74" s="20"/>
      <c r="H74" s="20"/>
      <c r="I74" s="20"/>
    </row>
    <row r="75" spans="4:9" x14ac:dyDescent="0.2">
      <c r="D75" s="1"/>
      <c r="E75" s="1"/>
      <c r="F75" s="1"/>
      <c r="G75" s="20"/>
      <c r="H75" s="20"/>
      <c r="I75" s="20"/>
    </row>
    <row r="76" spans="4:9" x14ac:dyDescent="0.2">
      <c r="D76" s="1"/>
      <c r="E76" s="1"/>
      <c r="F76" s="1"/>
      <c r="G76" s="20"/>
      <c r="H76" s="20"/>
      <c r="I76" s="20"/>
    </row>
    <row r="77" spans="4:9" x14ac:dyDescent="0.2">
      <c r="D77" s="1"/>
      <c r="E77" s="1"/>
      <c r="F77" s="1"/>
      <c r="G77" s="20"/>
      <c r="H77" s="20"/>
      <c r="I77" s="20"/>
    </row>
    <row r="78" spans="4:9" x14ac:dyDescent="0.2">
      <c r="D78" s="1"/>
      <c r="E78" s="1"/>
      <c r="F78" s="1"/>
      <c r="G78" s="20"/>
      <c r="H78" s="20"/>
      <c r="I78" s="20"/>
    </row>
    <row r="79" spans="4:9" x14ac:dyDescent="0.2">
      <c r="D79" s="1"/>
      <c r="E79" s="1"/>
      <c r="F79" s="1"/>
      <c r="G79" s="20"/>
      <c r="H79" s="20"/>
      <c r="I79" s="20"/>
    </row>
    <row r="80" spans="4:9" x14ac:dyDescent="0.2">
      <c r="D80" s="1"/>
      <c r="E80" s="1"/>
      <c r="F80" s="1"/>
      <c r="G80" s="20"/>
      <c r="H80" s="20"/>
      <c r="I80" s="20"/>
    </row>
    <row r="81" spans="4:9" x14ac:dyDescent="0.2">
      <c r="D81" s="1"/>
      <c r="E81" s="1"/>
      <c r="F81" s="1"/>
      <c r="G81" s="20"/>
      <c r="H81" s="20"/>
      <c r="I81" s="20"/>
    </row>
    <row r="82" spans="4:9" x14ac:dyDescent="0.2">
      <c r="D82" s="1"/>
      <c r="E82" s="1"/>
      <c r="F82" s="1"/>
      <c r="G82" s="20"/>
      <c r="H82" s="20"/>
      <c r="I82" s="20"/>
    </row>
    <row r="83" spans="4:9" x14ac:dyDescent="0.2">
      <c r="D83" s="1"/>
      <c r="E83" s="1"/>
      <c r="F83" s="1"/>
      <c r="G83" s="20"/>
      <c r="H83" s="20"/>
      <c r="I83" s="20"/>
    </row>
    <row r="84" spans="4:9" x14ac:dyDescent="0.2">
      <c r="D84" s="1"/>
      <c r="E84" s="1"/>
      <c r="F84" s="1"/>
      <c r="G84" s="20"/>
      <c r="H84" s="20"/>
      <c r="I84" s="20"/>
    </row>
    <row r="85" spans="4:9" x14ac:dyDescent="0.2">
      <c r="D85" s="1"/>
      <c r="E85" s="1"/>
      <c r="F85" s="1"/>
      <c r="G85" s="20"/>
      <c r="H85" s="20"/>
      <c r="I85" s="20"/>
    </row>
    <row r="86" spans="4:9" x14ac:dyDescent="0.2">
      <c r="D86" s="1"/>
      <c r="E86" s="1"/>
      <c r="F86" s="1"/>
      <c r="G86" s="20"/>
      <c r="H86" s="20"/>
      <c r="I86" s="20"/>
    </row>
    <row r="87" spans="4:9" x14ac:dyDescent="0.2">
      <c r="D87" s="1"/>
      <c r="E87" s="1"/>
      <c r="F87" s="1"/>
      <c r="G87" s="20"/>
      <c r="H87" s="20"/>
      <c r="I87" s="20"/>
    </row>
    <row r="88" spans="4:9" x14ac:dyDescent="0.2">
      <c r="D88" s="1"/>
      <c r="E88" s="1"/>
      <c r="F88" s="1"/>
      <c r="G88" s="20"/>
      <c r="H88" s="20"/>
      <c r="I88" s="20"/>
    </row>
    <row r="89" spans="4:9" x14ac:dyDescent="0.2">
      <c r="D89" s="1"/>
      <c r="E89" s="1"/>
      <c r="F89" s="1"/>
      <c r="G89" s="20"/>
      <c r="H89" s="20"/>
      <c r="I89" s="20"/>
    </row>
    <row r="90" spans="4:9" x14ac:dyDescent="0.2">
      <c r="D90" s="1"/>
      <c r="E90" s="1"/>
      <c r="F90" s="1"/>
      <c r="G90" s="20"/>
      <c r="H90" s="20"/>
      <c r="I90" s="20"/>
    </row>
    <row r="91" spans="4:9" x14ac:dyDescent="0.2">
      <c r="D91" s="1"/>
      <c r="E91" s="1"/>
      <c r="F91" s="1"/>
      <c r="G91" s="20"/>
      <c r="H91" s="20"/>
      <c r="I91" s="20"/>
    </row>
    <row r="92" spans="4:9" x14ac:dyDescent="0.2">
      <c r="D92" s="1"/>
      <c r="E92" s="1"/>
      <c r="F92" s="1"/>
      <c r="G92" s="20"/>
      <c r="H92" s="20"/>
      <c r="I92" s="20"/>
    </row>
    <row r="93" spans="4:9" x14ac:dyDescent="0.2">
      <c r="D93" s="1"/>
      <c r="E93" s="1"/>
      <c r="F93" s="1"/>
      <c r="G93" s="20"/>
      <c r="H93" s="20"/>
      <c r="I93" s="20"/>
    </row>
    <row r="94" spans="4:9" x14ac:dyDescent="0.2">
      <c r="D94" s="1"/>
      <c r="E94" s="1"/>
      <c r="F94" s="1"/>
      <c r="G94" s="20"/>
      <c r="H94" s="20"/>
      <c r="I94" s="20"/>
    </row>
    <row r="95" spans="4:9" x14ac:dyDescent="0.2">
      <c r="D95" s="1"/>
      <c r="E95" s="1"/>
      <c r="F95" s="1"/>
      <c r="G95" s="20"/>
      <c r="H95" s="20"/>
      <c r="I95" s="20"/>
    </row>
    <row r="96" spans="4:9" x14ac:dyDescent="0.2">
      <c r="D96" s="1"/>
      <c r="E96" s="1"/>
      <c r="F96" s="1"/>
      <c r="G96" s="20"/>
      <c r="H96" s="20"/>
      <c r="I96" s="20"/>
    </row>
    <row r="97" spans="4:9" x14ac:dyDescent="0.2">
      <c r="D97" s="1"/>
      <c r="E97" s="1"/>
      <c r="F97" s="1"/>
      <c r="G97" s="20"/>
      <c r="H97" s="20"/>
      <c r="I97" s="20"/>
    </row>
    <row r="98" spans="4:9" x14ac:dyDescent="0.2">
      <c r="D98" s="1"/>
      <c r="E98" s="1"/>
      <c r="F98" s="1"/>
      <c r="G98" s="20"/>
      <c r="H98" s="20"/>
      <c r="I98" s="20"/>
    </row>
    <row r="99" spans="4:9" x14ac:dyDescent="0.2">
      <c r="D99" s="1"/>
      <c r="E99" s="1"/>
      <c r="F99" s="1"/>
      <c r="G99" s="20"/>
      <c r="H99" s="20"/>
      <c r="I99" s="20"/>
    </row>
    <row r="100" spans="4:9" x14ac:dyDescent="0.2">
      <c r="D100" s="1"/>
      <c r="E100" s="1"/>
      <c r="F100" s="1"/>
      <c r="G100" s="20"/>
      <c r="H100" s="20"/>
      <c r="I100" s="20"/>
    </row>
    <row r="101" spans="4:9" x14ac:dyDescent="0.2">
      <c r="D101" s="1"/>
      <c r="E101" s="1"/>
      <c r="F101" s="1"/>
      <c r="G101" s="20"/>
      <c r="H101" s="20"/>
      <c r="I101" s="20"/>
    </row>
    <row r="102" spans="4:9" x14ac:dyDescent="0.2">
      <c r="D102" s="1"/>
      <c r="E102" s="1"/>
      <c r="F102" s="1"/>
      <c r="G102" s="20"/>
      <c r="H102" s="20"/>
      <c r="I102" s="20"/>
    </row>
    <row r="103" spans="4:9" x14ac:dyDescent="0.2">
      <c r="D103" s="1"/>
      <c r="E103" s="1"/>
      <c r="F103" s="1"/>
      <c r="G103" s="20"/>
      <c r="H103" s="20"/>
      <c r="I103" s="20"/>
    </row>
    <row r="104" spans="4:9" x14ac:dyDescent="0.2">
      <c r="D104" s="1"/>
      <c r="E104" s="1"/>
      <c r="F104" s="1"/>
      <c r="G104" s="20"/>
      <c r="H104" s="20"/>
      <c r="I104" s="20"/>
    </row>
    <row r="105" spans="4:9" x14ac:dyDescent="0.2">
      <c r="D105" s="1"/>
      <c r="E105" s="1"/>
      <c r="F105" s="1"/>
      <c r="G105" s="20"/>
      <c r="H105" s="20"/>
      <c r="I105" s="20"/>
    </row>
    <row r="106" spans="4:9" x14ac:dyDescent="0.2">
      <c r="D106" s="1"/>
      <c r="E106" s="1"/>
      <c r="F106" s="1"/>
      <c r="G106" s="20"/>
      <c r="H106" s="20"/>
      <c r="I106" s="20"/>
    </row>
    <row r="107" spans="4:9" x14ac:dyDescent="0.2">
      <c r="D107" s="1"/>
      <c r="E107" s="1"/>
      <c r="F107" s="1"/>
      <c r="G107" s="20"/>
      <c r="H107" s="20"/>
      <c r="I107" s="20"/>
    </row>
    <row r="108" spans="4:9" x14ac:dyDescent="0.2">
      <c r="D108" s="1"/>
      <c r="E108" s="1"/>
      <c r="F108" s="1"/>
      <c r="G108" s="20"/>
      <c r="H108" s="20"/>
      <c r="I108" s="20"/>
    </row>
    <row r="109" spans="4:9" x14ac:dyDescent="0.2">
      <c r="D109" s="1"/>
      <c r="E109" s="1"/>
      <c r="F109" s="1"/>
      <c r="G109" s="20"/>
      <c r="H109" s="20"/>
      <c r="I109" s="20"/>
    </row>
    <row r="110" spans="4:9" x14ac:dyDescent="0.2">
      <c r="D110" s="1"/>
      <c r="E110" s="1"/>
      <c r="F110" s="1"/>
      <c r="G110" s="20"/>
      <c r="H110" s="20"/>
      <c r="I110" s="20"/>
    </row>
    <row r="111" spans="4:9" x14ac:dyDescent="0.2">
      <c r="D111" s="1"/>
      <c r="E111" s="1"/>
      <c r="F111" s="1"/>
      <c r="G111" s="20"/>
      <c r="H111" s="20"/>
      <c r="I111" s="20"/>
    </row>
    <row r="112" spans="4:9" x14ac:dyDescent="0.2">
      <c r="D112" s="1"/>
      <c r="E112" s="1"/>
      <c r="F112" s="1"/>
      <c r="G112" s="20"/>
      <c r="H112" s="20"/>
      <c r="I112" s="20"/>
    </row>
    <row r="113" spans="4:9" x14ac:dyDescent="0.2">
      <c r="D113" s="1"/>
      <c r="E113" s="1"/>
      <c r="F113" s="1"/>
      <c r="G113" s="20"/>
      <c r="H113" s="20"/>
      <c r="I113" s="20"/>
    </row>
    <row r="114" spans="4:9" x14ac:dyDescent="0.2">
      <c r="D114" s="1"/>
      <c r="E114" s="1"/>
      <c r="F114" s="1"/>
      <c r="G114" s="20"/>
      <c r="H114" s="20"/>
      <c r="I114" s="20"/>
    </row>
    <row r="115" spans="4:9" x14ac:dyDescent="0.2">
      <c r="D115" s="1"/>
      <c r="E115" s="1"/>
      <c r="F115" s="1"/>
      <c r="G115" s="20"/>
      <c r="H115" s="20"/>
      <c r="I115" s="20"/>
    </row>
    <row r="116" spans="4:9" x14ac:dyDescent="0.2">
      <c r="D116" s="1"/>
      <c r="E116" s="1"/>
      <c r="F116" s="1"/>
      <c r="G116" s="20"/>
      <c r="H116" s="20"/>
      <c r="I116" s="20"/>
    </row>
    <row r="117" spans="4:9" x14ac:dyDescent="0.2">
      <c r="D117" s="1"/>
      <c r="E117" s="1"/>
      <c r="F117" s="1"/>
      <c r="G117" s="20"/>
      <c r="H117" s="20"/>
      <c r="I117" s="20"/>
    </row>
    <row r="118" spans="4:9" x14ac:dyDescent="0.2">
      <c r="D118" s="1"/>
      <c r="E118" s="1"/>
      <c r="F118" s="1"/>
      <c r="G118" s="20"/>
      <c r="H118" s="20"/>
      <c r="I118" s="20"/>
    </row>
    <row r="119" spans="4:9" x14ac:dyDescent="0.2">
      <c r="D119" s="1"/>
      <c r="E119" s="1"/>
      <c r="F119" s="1"/>
      <c r="G119" s="20"/>
      <c r="H119" s="20"/>
      <c r="I119" s="20"/>
    </row>
    <row r="120" spans="4:9" x14ac:dyDescent="0.2">
      <c r="D120" s="1"/>
      <c r="E120" s="1"/>
      <c r="F120" s="1"/>
      <c r="G120" s="20"/>
      <c r="H120" s="20"/>
      <c r="I120" s="20"/>
    </row>
    <row r="121" spans="4:9" x14ac:dyDescent="0.2">
      <c r="D121" s="1"/>
      <c r="E121" s="1"/>
      <c r="F121" s="1"/>
      <c r="G121" s="20"/>
      <c r="H121" s="20"/>
      <c r="I121" s="20"/>
    </row>
    <row r="122" spans="4:9" x14ac:dyDescent="0.2">
      <c r="D122" s="1"/>
      <c r="E122" s="1"/>
      <c r="F122" s="1"/>
      <c r="G122" s="20"/>
      <c r="H122" s="20"/>
      <c r="I122" s="20"/>
    </row>
    <row r="123" spans="4:9" x14ac:dyDescent="0.2">
      <c r="D123" s="1"/>
      <c r="E123" s="1"/>
      <c r="F123" s="1"/>
      <c r="G123" s="20"/>
      <c r="H123" s="20"/>
      <c r="I123" s="20"/>
    </row>
    <row r="124" spans="4:9" x14ac:dyDescent="0.2">
      <c r="D124" s="1"/>
      <c r="E124" s="1"/>
      <c r="F124" s="1"/>
      <c r="G124" s="20"/>
      <c r="H124" s="20"/>
      <c r="I124" s="20"/>
    </row>
    <row r="125" spans="4:9" x14ac:dyDescent="0.2">
      <c r="D125" s="1"/>
      <c r="E125" s="1"/>
      <c r="F125" s="1"/>
      <c r="G125" s="20"/>
      <c r="H125" s="20"/>
      <c r="I125" s="20"/>
    </row>
  </sheetData>
  <mergeCells count="6">
    <mergeCell ref="P2:R2"/>
    <mergeCell ref="J1:K2"/>
    <mergeCell ref="D2:F2"/>
    <mergeCell ref="L2:O2"/>
    <mergeCell ref="L1:R1"/>
    <mergeCell ref="G1:I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3"/>
  <sheetViews>
    <sheetView workbookViewId="0">
      <pane xSplit="1" ySplit="3" topLeftCell="B4" activePane="bottomRight" state="frozen"/>
      <selection pane="topRight" activeCell="B1" sqref="B1"/>
      <selection pane="bottomLeft" activeCell="A4" sqref="A4"/>
      <selection pane="bottomRight" activeCell="A3" sqref="A3"/>
    </sheetView>
  </sheetViews>
  <sheetFormatPr defaultRowHeight="12" x14ac:dyDescent="0.2"/>
  <cols>
    <col min="1" max="1" width="33.140625" style="20" bestFit="1" customWidth="1"/>
    <col min="2" max="2" width="9.7109375" style="1" bestFit="1" customWidth="1"/>
    <col min="3" max="3" width="10" style="1" bestFit="1" customWidth="1"/>
    <col min="4" max="4" width="8.7109375" style="1" bestFit="1" customWidth="1"/>
    <col min="5" max="5" width="6.7109375" style="1" bestFit="1" customWidth="1"/>
    <col min="6" max="6" width="6.140625" style="1" bestFit="1" customWidth="1"/>
    <col min="7" max="9" width="8.7109375" style="1" bestFit="1" customWidth="1"/>
    <col min="10" max="11" width="9.28515625" style="1" bestFit="1" customWidth="1"/>
    <col min="12" max="12" width="8.7109375" style="1" bestFit="1" customWidth="1"/>
    <col min="13" max="13" width="6.7109375" style="1" bestFit="1" customWidth="1"/>
    <col min="14" max="14" width="6.140625" style="1" bestFit="1" customWidth="1"/>
    <col min="15" max="15" width="5.7109375" style="1" bestFit="1" customWidth="1"/>
    <col min="16" max="17" width="10" style="20" customWidth="1"/>
    <col min="18" max="18" width="9.140625" style="20"/>
    <col min="19" max="19" width="12.7109375" style="1" customWidth="1"/>
    <col min="20" max="16384" width="9.140625" style="1"/>
  </cols>
  <sheetData>
    <row r="1" spans="1:20" ht="12" customHeight="1" x14ac:dyDescent="0.2">
      <c r="A1" s="2" t="s">
        <v>404</v>
      </c>
      <c r="B1" s="3"/>
      <c r="D1" s="20"/>
      <c r="E1" s="20"/>
      <c r="F1" s="20"/>
      <c r="G1" s="187" t="s">
        <v>369</v>
      </c>
      <c r="H1" s="187"/>
      <c r="I1" s="187"/>
      <c r="J1" s="180" t="s">
        <v>241</v>
      </c>
      <c r="K1" s="180"/>
      <c r="L1" s="190" t="s">
        <v>388</v>
      </c>
      <c r="M1" s="190"/>
      <c r="N1" s="190"/>
      <c r="O1" s="190"/>
      <c r="P1" s="190"/>
      <c r="Q1" s="190"/>
      <c r="R1" s="190"/>
    </row>
    <row r="2" spans="1:20" ht="12" customHeight="1" x14ac:dyDescent="0.2">
      <c r="A2" s="2"/>
      <c r="B2" s="3"/>
      <c r="D2" s="185" t="s">
        <v>236</v>
      </c>
      <c r="E2" s="185"/>
      <c r="F2" s="185"/>
      <c r="G2" s="187"/>
      <c r="H2" s="187"/>
      <c r="I2" s="187"/>
      <c r="J2" s="180"/>
      <c r="K2" s="180"/>
      <c r="L2" s="191" t="s">
        <v>387</v>
      </c>
      <c r="M2" s="191"/>
      <c r="N2" s="191"/>
      <c r="O2" s="191"/>
      <c r="P2" s="184" t="s">
        <v>395</v>
      </c>
      <c r="Q2" s="184"/>
      <c r="R2" s="184"/>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2</v>
      </c>
      <c r="B4" s="7">
        <v>7181061</v>
      </c>
      <c r="C4" s="7">
        <v>3932500</v>
      </c>
      <c r="D4" s="19">
        <v>78.599999999999994</v>
      </c>
      <c r="E4" s="19">
        <v>5.7</v>
      </c>
      <c r="F4" s="19">
        <v>15.7</v>
      </c>
      <c r="G4" s="30">
        <f>ROUND(D4/100*C4,2)</f>
        <v>3090945</v>
      </c>
      <c r="H4" s="30">
        <f>ROUND(E4/100*C4,2)</f>
        <v>224152.5</v>
      </c>
      <c r="I4" s="30">
        <f>ROUND(F4/100*C4,2)</f>
        <v>617402.5</v>
      </c>
      <c r="J4" s="16"/>
      <c r="K4" s="16"/>
      <c r="L4" s="16">
        <f>ROUND(13*G4/100000,7)</f>
        <v>401.82285000000002</v>
      </c>
      <c r="M4" s="16">
        <f>ROUND(14.9*H4/100000,7)</f>
        <v>33.398722499999998</v>
      </c>
      <c r="N4" s="16">
        <f>ROUND(12.3*I4/100000,7)</f>
        <v>75.940507499999995</v>
      </c>
      <c r="O4" s="16">
        <f>ROUND(SUM(L4:N4),7)</f>
        <v>511.16208</v>
      </c>
      <c r="P4" s="30">
        <f>ROUND(O4*100/0.13,7)</f>
        <v>393201.6</v>
      </c>
      <c r="Q4" s="30">
        <f>ROUND(O4*100/0.1,7)</f>
        <v>511162.08</v>
      </c>
      <c r="R4" s="30">
        <f>ROUND((P4+Q4)/2,7)</f>
        <v>452181.84</v>
      </c>
      <c r="S4" s="16">
        <v>4366.6018723486932</v>
      </c>
      <c r="T4" s="16">
        <f>SUM(O4+S4)</f>
        <v>4877.7639523486932</v>
      </c>
    </row>
    <row r="5" spans="1:20" x14ac:dyDescent="0.2">
      <c r="A5" s="6" t="s">
        <v>55</v>
      </c>
      <c r="B5" s="7">
        <v>281252</v>
      </c>
      <c r="C5" s="7"/>
      <c r="D5" s="22">
        <v>77</v>
      </c>
      <c r="E5" s="23">
        <v>9</v>
      </c>
      <c r="F5" s="23">
        <v>14</v>
      </c>
      <c r="G5" s="30">
        <f>ROUND(D5/100*B5,2)</f>
        <v>216564.04</v>
      </c>
      <c r="H5" s="30">
        <f>ROUND(E5/100*B5,2)</f>
        <v>25312.68</v>
      </c>
      <c r="I5" s="30">
        <f>ROUND(F5/100*B5,2)</f>
        <v>39375.279999999999</v>
      </c>
      <c r="J5" s="16"/>
      <c r="K5" s="16"/>
      <c r="L5" s="16">
        <f t="shared" ref="L5:L20" si="0">ROUND(13*G5/100000,7)</f>
        <v>28.153325200000001</v>
      </c>
      <c r="M5" s="16">
        <f t="shared" ref="M5:M20" si="1">ROUND(14.9*H5/100000,7)</f>
        <v>3.7715893</v>
      </c>
      <c r="N5" s="16">
        <f t="shared" ref="N5:N20" si="2">ROUND(12.3*I5/100000,7)</f>
        <v>4.8431594000000002</v>
      </c>
      <c r="O5" s="16">
        <f t="shared" ref="O5:O20" si="3">ROUND(SUM(L5:N5),7)</f>
        <v>36.768073899999997</v>
      </c>
      <c r="P5" s="30">
        <f t="shared" ref="P5:P20" si="4">ROUND(O5*100/0.13,7)</f>
        <v>28283.133769200002</v>
      </c>
      <c r="Q5" s="30">
        <f t="shared" ref="Q5:Q20" si="5">ROUND(O5*100/0.1,7)</f>
        <v>36768.073900000003</v>
      </c>
      <c r="R5" s="30">
        <f t="shared" ref="R5:R20" si="6">ROUND((P5+Q5)/2,7)</f>
        <v>32525.603834599999</v>
      </c>
      <c r="S5" s="16">
        <v>171.02145627252219</v>
      </c>
      <c r="T5" s="16">
        <f t="shared" ref="T5:T21" si="7">SUM(O5+S5)</f>
        <v>207.78953017252218</v>
      </c>
    </row>
    <row r="6" spans="1:20" x14ac:dyDescent="0.2">
      <c r="A6" s="6" t="s">
        <v>59</v>
      </c>
      <c r="B6" s="8">
        <v>26179700</v>
      </c>
      <c r="C6" s="9">
        <v>23828900</v>
      </c>
      <c r="D6" s="19">
        <v>31.7</v>
      </c>
      <c r="E6" s="19">
        <v>23</v>
      </c>
      <c r="F6" s="19">
        <v>45.4</v>
      </c>
      <c r="G6" s="30">
        <f t="shared" ref="G6:G8" si="8">ROUND(D6/100*C6,2)</f>
        <v>7553761.2999999998</v>
      </c>
      <c r="H6" s="30">
        <f t="shared" ref="H6:H8" si="9">ROUND(E6/100*C6,2)</f>
        <v>5480647</v>
      </c>
      <c r="I6" s="30">
        <f t="shared" ref="I6:I8" si="10">ROUND(F6/100*C6,2)</f>
        <v>10818320.6</v>
      </c>
      <c r="J6" s="16"/>
      <c r="K6" s="16"/>
      <c r="L6" s="16">
        <f t="shared" si="0"/>
        <v>981.988969</v>
      </c>
      <c r="M6" s="16">
        <f t="shared" si="1"/>
        <v>816.61640299999999</v>
      </c>
      <c r="N6" s="16">
        <f t="shared" si="2"/>
        <v>1330.6534337999999</v>
      </c>
      <c r="O6" s="16">
        <f t="shared" si="3"/>
        <v>3129.2588058000001</v>
      </c>
      <c r="P6" s="30">
        <f t="shared" si="4"/>
        <v>2407122.1583077</v>
      </c>
      <c r="Q6" s="30">
        <f t="shared" si="5"/>
        <v>3129258.8058000002</v>
      </c>
      <c r="R6" s="30">
        <f t="shared" si="6"/>
        <v>2768190.4820539001</v>
      </c>
      <c r="S6" s="16">
        <v>15919.141619536036</v>
      </c>
      <c r="T6" s="16">
        <f t="shared" si="7"/>
        <v>19048.400425336036</v>
      </c>
    </row>
    <row r="7" spans="1:20" x14ac:dyDescent="0.2">
      <c r="A7" s="6" t="s">
        <v>95</v>
      </c>
      <c r="B7" s="8">
        <v>25700000</v>
      </c>
      <c r="C7" s="9">
        <v>20656700</v>
      </c>
      <c r="D7" s="19">
        <v>19.2</v>
      </c>
      <c r="E7" s="19">
        <v>32.200000000000003</v>
      </c>
      <c r="F7" s="19">
        <v>48.6</v>
      </c>
      <c r="G7" s="30">
        <f t="shared" si="8"/>
        <v>3966086.4</v>
      </c>
      <c r="H7" s="30">
        <f t="shared" si="9"/>
        <v>6651457.4000000004</v>
      </c>
      <c r="I7" s="30">
        <f t="shared" si="10"/>
        <v>10039156.199999999</v>
      </c>
      <c r="J7" s="16"/>
      <c r="K7" s="16"/>
      <c r="L7" s="16">
        <f t="shared" si="0"/>
        <v>515.59123199999999</v>
      </c>
      <c r="M7" s="16">
        <f t="shared" si="1"/>
        <v>991.06715259999999</v>
      </c>
      <c r="N7" s="16">
        <f t="shared" si="2"/>
        <v>1234.8162126</v>
      </c>
      <c r="O7" s="16">
        <f t="shared" si="3"/>
        <v>2741.4745972000001</v>
      </c>
      <c r="P7" s="30">
        <f t="shared" si="4"/>
        <v>2108826.6132307998</v>
      </c>
      <c r="Q7" s="30">
        <f t="shared" si="5"/>
        <v>2741474.5972000002</v>
      </c>
      <c r="R7" s="30">
        <f t="shared" si="6"/>
        <v>2425150.6052154</v>
      </c>
      <c r="S7" s="16">
        <v>15627.449497972708</v>
      </c>
      <c r="T7" s="16">
        <f t="shared" si="7"/>
        <v>18368.924095172708</v>
      </c>
    </row>
    <row r="8" spans="1:20" x14ac:dyDescent="0.2">
      <c r="A8" s="6" t="s">
        <v>96</v>
      </c>
      <c r="B8" s="8">
        <v>8900000</v>
      </c>
      <c r="C8" s="7">
        <v>7606100</v>
      </c>
      <c r="D8" s="19">
        <v>21.6</v>
      </c>
      <c r="E8" s="19">
        <v>18.7</v>
      </c>
      <c r="F8" s="19">
        <v>59.8</v>
      </c>
      <c r="G8" s="30">
        <f t="shared" si="8"/>
        <v>1642917.6</v>
      </c>
      <c r="H8" s="30">
        <f t="shared" si="9"/>
        <v>1422340.7</v>
      </c>
      <c r="I8" s="30">
        <f t="shared" si="10"/>
        <v>4548447.8</v>
      </c>
      <c r="J8" s="16"/>
      <c r="K8" s="16"/>
      <c r="L8" s="16">
        <f t="shared" si="0"/>
        <v>213.57928799999999</v>
      </c>
      <c r="M8" s="16">
        <f t="shared" si="1"/>
        <v>211.92876430000001</v>
      </c>
      <c r="N8" s="16">
        <f t="shared" si="2"/>
        <v>559.45907939999995</v>
      </c>
      <c r="O8" s="16">
        <f t="shared" si="3"/>
        <v>984.96713169999998</v>
      </c>
      <c r="P8" s="30">
        <f t="shared" si="4"/>
        <v>757667.02438459999</v>
      </c>
      <c r="Q8" s="30">
        <f t="shared" si="5"/>
        <v>984967.13170000003</v>
      </c>
      <c r="R8" s="30">
        <f t="shared" si="6"/>
        <v>871317.07804229995</v>
      </c>
      <c r="S8" s="16">
        <v>5411.8404876247905</v>
      </c>
      <c r="T8" s="16">
        <f t="shared" si="7"/>
        <v>6396.8076193247907</v>
      </c>
    </row>
    <row r="9" spans="1:20" x14ac:dyDescent="0.2">
      <c r="A9" s="6" t="s">
        <v>104</v>
      </c>
      <c r="B9" s="8">
        <v>1719000</v>
      </c>
      <c r="C9" s="7"/>
      <c r="D9" s="19">
        <v>2.7</v>
      </c>
      <c r="E9" s="19">
        <v>20</v>
      </c>
      <c r="F9" s="19">
        <v>77.400000000000006</v>
      </c>
      <c r="G9" s="30">
        <f>ROUND(D9/100*B9,2)</f>
        <v>46413</v>
      </c>
      <c r="H9" s="30">
        <f>ROUND(E9/100*B9,2)</f>
        <v>343800</v>
      </c>
      <c r="I9" s="30">
        <f>ROUND(F9/100*B9,2)</f>
        <v>1330506</v>
      </c>
      <c r="J9" s="16"/>
      <c r="K9" s="16"/>
      <c r="L9" s="16">
        <f t="shared" si="0"/>
        <v>6.03369</v>
      </c>
      <c r="M9" s="16">
        <f t="shared" si="1"/>
        <v>51.226199999999999</v>
      </c>
      <c r="N9" s="16">
        <f t="shared" si="2"/>
        <v>163.65223800000001</v>
      </c>
      <c r="O9" s="16">
        <f t="shared" si="3"/>
        <v>220.912128</v>
      </c>
      <c r="P9" s="30">
        <f t="shared" si="4"/>
        <v>169932.4061538</v>
      </c>
      <c r="Q9" s="30">
        <f t="shared" si="5"/>
        <v>220912.128</v>
      </c>
      <c r="R9" s="30">
        <f t="shared" si="6"/>
        <v>195422.2670769</v>
      </c>
      <c r="S9" s="16">
        <v>1045.2757076659568</v>
      </c>
      <c r="T9" s="16">
        <f t="shared" si="7"/>
        <v>1266.1878356659568</v>
      </c>
    </row>
    <row r="10" spans="1:20" x14ac:dyDescent="0.2">
      <c r="A10" s="6" t="s">
        <v>114</v>
      </c>
      <c r="B10" s="8">
        <v>1481000</v>
      </c>
      <c r="C10" s="7">
        <v>1118400</v>
      </c>
      <c r="D10" s="29">
        <v>14</v>
      </c>
      <c r="E10" s="29">
        <v>27</v>
      </c>
      <c r="F10" s="29">
        <v>58</v>
      </c>
      <c r="G10" s="30">
        <f t="shared" ref="G10:G14" si="11">ROUND(D10/100*C10,2)</f>
        <v>156576</v>
      </c>
      <c r="H10" s="30">
        <f t="shared" ref="H10:H14" si="12">ROUND(E10/100*C10,2)</f>
        <v>301968</v>
      </c>
      <c r="I10" s="30">
        <f t="shared" ref="I10:I14" si="13">ROUND(F10/100*C10,2)</f>
        <v>648672</v>
      </c>
      <c r="J10" s="16"/>
      <c r="K10" s="16"/>
      <c r="L10" s="16">
        <f t="shared" si="0"/>
        <v>20.354880000000001</v>
      </c>
      <c r="M10" s="16">
        <f t="shared" si="1"/>
        <v>44.993231999999999</v>
      </c>
      <c r="N10" s="16">
        <f t="shared" si="2"/>
        <v>79.786655999999994</v>
      </c>
      <c r="O10" s="16">
        <f t="shared" si="3"/>
        <v>145.13476800000001</v>
      </c>
      <c r="P10" s="30">
        <f t="shared" si="4"/>
        <v>111642.1292308</v>
      </c>
      <c r="Q10" s="30">
        <f t="shared" si="5"/>
        <v>145134.76800000001</v>
      </c>
      <c r="R10" s="30">
        <f t="shared" si="6"/>
        <v>128388.4486154</v>
      </c>
      <c r="S10" s="16">
        <v>900.5545800193612</v>
      </c>
      <c r="T10" s="16">
        <f t="shared" si="7"/>
        <v>1045.6893480193612</v>
      </c>
    </row>
    <row r="11" spans="1:20" x14ac:dyDescent="0.2">
      <c r="A11" s="12" t="s">
        <v>117</v>
      </c>
      <c r="B11" s="8">
        <v>1729000</v>
      </c>
      <c r="C11" s="7">
        <v>805800</v>
      </c>
      <c r="D11" s="19">
        <v>17</v>
      </c>
      <c r="E11" s="19">
        <v>23</v>
      </c>
      <c r="F11" s="19">
        <v>59</v>
      </c>
      <c r="G11" s="30">
        <f t="shared" si="11"/>
        <v>136986</v>
      </c>
      <c r="H11" s="30">
        <f t="shared" si="12"/>
        <v>185334</v>
      </c>
      <c r="I11" s="30">
        <f t="shared" si="13"/>
        <v>475422</v>
      </c>
      <c r="J11" s="16"/>
      <c r="K11" s="16"/>
      <c r="L11" s="16">
        <f t="shared" si="0"/>
        <v>17.80818</v>
      </c>
      <c r="M11" s="16">
        <f t="shared" si="1"/>
        <v>27.614765999999999</v>
      </c>
      <c r="N11" s="16">
        <f t="shared" si="2"/>
        <v>58.476906</v>
      </c>
      <c r="O11" s="16">
        <f t="shared" si="3"/>
        <v>103.899852</v>
      </c>
      <c r="P11" s="30">
        <f t="shared" si="4"/>
        <v>79922.963076900007</v>
      </c>
      <c r="Q11" s="30">
        <f t="shared" si="5"/>
        <v>103899.852</v>
      </c>
      <c r="R11" s="30">
        <f t="shared" si="6"/>
        <v>91911.407538500003</v>
      </c>
      <c r="S11" s="16">
        <v>1051.3564273149734</v>
      </c>
      <c r="T11" s="16">
        <f t="shared" si="7"/>
        <v>1155.2562793149734</v>
      </c>
    </row>
    <row r="12" spans="1:20" x14ac:dyDescent="0.2">
      <c r="A12" s="6" t="s">
        <v>141</v>
      </c>
      <c r="B12" s="8">
        <v>11441800</v>
      </c>
      <c r="C12" s="9">
        <v>10404700</v>
      </c>
      <c r="D12" s="19">
        <v>44.6</v>
      </c>
      <c r="E12" s="19">
        <v>19.8</v>
      </c>
      <c r="F12" s="19">
        <v>35.5</v>
      </c>
      <c r="G12" s="30">
        <f t="shared" si="11"/>
        <v>4640496.2</v>
      </c>
      <c r="H12" s="30">
        <f t="shared" si="12"/>
        <v>2060130.6</v>
      </c>
      <c r="I12" s="30">
        <f t="shared" si="13"/>
        <v>3693668.5</v>
      </c>
      <c r="J12" s="16"/>
      <c r="K12" s="16"/>
      <c r="L12" s="16">
        <f t="shared" si="0"/>
        <v>603.26450599999998</v>
      </c>
      <c r="M12" s="16">
        <f t="shared" si="1"/>
        <v>306.95945940000001</v>
      </c>
      <c r="N12" s="16">
        <f t="shared" si="2"/>
        <v>454.32122550000003</v>
      </c>
      <c r="O12" s="16">
        <f t="shared" si="3"/>
        <v>1364.5451909000001</v>
      </c>
      <c r="P12" s="30">
        <f t="shared" si="4"/>
        <v>1049650.1468462001</v>
      </c>
      <c r="Q12" s="30">
        <f t="shared" si="5"/>
        <v>1364545.1909</v>
      </c>
      <c r="R12" s="30">
        <f t="shared" si="6"/>
        <v>1207097.6688731001</v>
      </c>
      <c r="S12" s="16">
        <v>6957.4378080118349</v>
      </c>
      <c r="T12" s="16">
        <f t="shared" si="7"/>
        <v>8321.9829989118352</v>
      </c>
    </row>
    <row r="13" spans="1:20" x14ac:dyDescent="0.2">
      <c r="A13" s="6" t="s">
        <v>158</v>
      </c>
      <c r="B13" s="7">
        <v>1220810</v>
      </c>
      <c r="C13" s="7">
        <v>1099200</v>
      </c>
      <c r="D13" s="21">
        <v>5.2</v>
      </c>
      <c r="E13" s="21">
        <v>36.9</v>
      </c>
      <c r="F13" s="21">
        <v>58</v>
      </c>
      <c r="G13" s="30">
        <f t="shared" si="11"/>
        <v>57158.400000000001</v>
      </c>
      <c r="H13" s="30">
        <f t="shared" si="12"/>
        <v>405604.8</v>
      </c>
      <c r="I13" s="30">
        <f t="shared" si="13"/>
        <v>637536</v>
      </c>
      <c r="J13" s="16"/>
      <c r="K13" s="16"/>
      <c r="L13" s="16">
        <f t="shared" si="0"/>
        <v>7.4305919999999999</v>
      </c>
      <c r="M13" s="16">
        <f t="shared" si="1"/>
        <v>60.435115199999998</v>
      </c>
      <c r="N13" s="16">
        <f t="shared" si="2"/>
        <v>78.416927999999999</v>
      </c>
      <c r="O13" s="16">
        <f t="shared" si="3"/>
        <v>146.28263519999999</v>
      </c>
      <c r="P13" s="30">
        <f t="shared" si="4"/>
        <v>112525.10400000001</v>
      </c>
      <c r="Q13" s="30">
        <f t="shared" si="5"/>
        <v>146282.63519999999</v>
      </c>
      <c r="R13" s="30">
        <f t="shared" si="6"/>
        <v>129403.86960000001</v>
      </c>
      <c r="S13" s="16">
        <v>742.34033547159777</v>
      </c>
      <c r="T13" s="16">
        <f t="shared" si="7"/>
        <v>888.62297067159773</v>
      </c>
    </row>
    <row r="14" spans="1:20" x14ac:dyDescent="0.2">
      <c r="A14" s="6" t="s">
        <v>159</v>
      </c>
      <c r="B14" s="8">
        <v>56919000</v>
      </c>
      <c r="C14" s="9">
        <v>49090000</v>
      </c>
      <c r="D14" s="19">
        <v>45.1</v>
      </c>
      <c r="E14" s="19">
        <v>20.7</v>
      </c>
      <c r="F14" s="19">
        <v>34.200000000000003</v>
      </c>
      <c r="G14" s="30">
        <f t="shared" si="11"/>
        <v>22139590</v>
      </c>
      <c r="H14" s="30">
        <f t="shared" si="12"/>
        <v>10161630</v>
      </c>
      <c r="I14" s="30">
        <f t="shared" si="13"/>
        <v>16788780</v>
      </c>
      <c r="J14" s="16"/>
      <c r="K14" s="16"/>
      <c r="L14" s="16">
        <f t="shared" si="0"/>
        <v>2878.1466999999998</v>
      </c>
      <c r="M14" s="16">
        <f t="shared" si="1"/>
        <v>1514.08287</v>
      </c>
      <c r="N14" s="16">
        <f t="shared" si="2"/>
        <v>2065.0199400000001</v>
      </c>
      <c r="O14" s="16">
        <f t="shared" si="3"/>
        <v>6457.2495099999996</v>
      </c>
      <c r="P14" s="30">
        <f t="shared" si="4"/>
        <v>4967115.0076922998</v>
      </c>
      <c r="Q14" s="30">
        <f t="shared" si="5"/>
        <v>6457249.5099999998</v>
      </c>
      <c r="R14" s="30">
        <f t="shared" si="6"/>
        <v>5712182.2588462001</v>
      </c>
      <c r="S14" s="16">
        <v>34610.848170237688</v>
      </c>
      <c r="T14" s="16">
        <f t="shared" si="7"/>
        <v>41068.09768023769</v>
      </c>
    </row>
    <row r="15" spans="1:20" x14ac:dyDescent="0.2">
      <c r="A15" s="6" t="s">
        <v>191</v>
      </c>
      <c r="B15" s="7">
        <v>2868000</v>
      </c>
      <c r="C15" s="7"/>
      <c r="D15" s="22">
        <v>76</v>
      </c>
      <c r="E15" s="23">
        <v>8</v>
      </c>
      <c r="F15" s="23">
        <v>16</v>
      </c>
      <c r="G15" s="30">
        <f>ROUND(D15/100*B15,2)</f>
        <v>2179680</v>
      </c>
      <c r="H15" s="30">
        <f>ROUND(E15/100*B15,2)</f>
        <v>229440</v>
      </c>
      <c r="I15" s="30">
        <f>ROUND(F15/100*B15,2)</f>
        <v>458880</v>
      </c>
      <c r="J15" s="16"/>
      <c r="K15" s="16"/>
      <c r="L15" s="16">
        <f t="shared" si="0"/>
        <v>283.35840000000002</v>
      </c>
      <c r="M15" s="16">
        <f t="shared" si="1"/>
        <v>34.18656</v>
      </c>
      <c r="N15" s="16">
        <f t="shared" si="2"/>
        <v>56.442239999999998</v>
      </c>
      <c r="O15" s="16">
        <f t="shared" si="3"/>
        <v>373.98719999999997</v>
      </c>
      <c r="P15" s="30">
        <f t="shared" si="4"/>
        <v>287682.46153849998</v>
      </c>
      <c r="Q15" s="30">
        <f t="shared" si="5"/>
        <v>373987.2</v>
      </c>
      <c r="R15" s="30">
        <f t="shared" si="6"/>
        <v>330834.8307693</v>
      </c>
      <c r="S15" s="16">
        <v>1743.950395337966</v>
      </c>
      <c r="T15" s="16">
        <f t="shared" si="7"/>
        <v>2117.9375953379658</v>
      </c>
    </row>
    <row r="16" spans="1:20" x14ac:dyDescent="0.2">
      <c r="A16" s="6" t="s">
        <v>195</v>
      </c>
      <c r="B16" s="10">
        <v>11073530</v>
      </c>
      <c r="C16" s="10">
        <v>9300000</v>
      </c>
      <c r="D16" s="19">
        <v>80</v>
      </c>
      <c r="E16" s="19">
        <v>7</v>
      </c>
      <c r="F16" s="19">
        <v>13</v>
      </c>
      <c r="G16" s="30">
        <f t="shared" ref="G16:G20" si="14">ROUND(D16/100*C16,2)</f>
        <v>7440000</v>
      </c>
      <c r="H16" s="30">
        <f t="shared" ref="H16:H20" si="15">ROUND(E16/100*C16,2)</f>
        <v>651000</v>
      </c>
      <c r="I16" s="30">
        <f t="shared" ref="I16:I20" si="16">ROUND(F16/100*C16,2)</f>
        <v>1209000</v>
      </c>
      <c r="J16" s="16"/>
      <c r="K16" s="16"/>
      <c r="L16" s="16">
        <f t="shared" si="0"/>
        <v>967.2</v>
      </c>
      <c r="M16" s="16">
        <f t="shared" si="1"/>
        <v>96.998999999999995</v>
      </c>
      <c r="N16" s="16">
        <f t="shared" si="2"/>
        <v>148.70699999999999</v>
      </c>
      <c r="O16" s="16">
        <f t="shared" si="3"/>
        <v>1212.9059999999999</v>
      </c>
      <c r="P16" s="30">
        <f t="shared" si="4"/>
        <v>933004.61538460001</v>
      </c>
      <c r="Q16" s="30">
        <f t="shared" si="5"/>
        <v>1212906</v>
      </c>
      <c r="R16" s="30">
        <f t="shared" si="6"/>
        <v>1072955.3076923001</v>
      </c>
      <c r="S16" s="16">
        <v>6733.5031454974996</v>
      </c>
      <c r="T16" s="16">
        <f t="shared" si="7"/>
        <v>7946.4091454974996</v>
      </c>
    </row>
    <row r="17" spans="1:20" x14ac:dyDescent="0.2">
      <c r="A17" s="6" t="s">
        <v>200</v>
      </c>
      <c r="B17" s="8">
        <v>5530800</v>
      </c>
      <c r="C17" s="7">
        <v>5054500</v>
      </c>
      <c r="D17" s="19">
        <v>17</v>
      </c>
      <c r="E17" s="19">
        <v>16</v>
      </c>
      <c r="F17" s="19">
        <v>67</v>
      </c>
      <c r="G17" s="30">
        <f t="shared" si="14"/>
        <v>859265</v>
      </c>
      <c r="H17" s="30">
        <f t="shared" si="15"/>
        <v>808720</v>
      </c>
      <c r="I17" s="30">
        <f t="shared" si="16"/>
        <v>3386515</v>
      </c>
      <c r="J17" s="16"/>
      <c r="K17" s="16"/>
      <c r="L17" s="16">
        <f t="shared" si="0"/>
        <v>111.70444999999999</v>
      </c>
      <c r="M17" s="16">
        <f t="shared" si="1"/>
        <v>120.49928</v>
      </c>
      <c r="N17" s="16">
        <f t="shared" si="2"/>
        <v>416.54134499999998</v>
      </c>
      <c r="O17" s="16">
        <f t="shared" si="3"/>
        <v>648.74507500000004</v>
      </c>
      <c r="P17" s="30">
        <f t="shared" si="4"/>
        <v>499034.67307690001</v>
      </c>
      <c r="Q17" s="30">
        <f t="shared" si="5"/>
        <v>648745.07499999995</v>
      </c>
      <c r="R17" s="30">
        <f t="shared" si="6"/>
        <v>573889.87403850001</v>
      </c>
      <c r="S17" s="16">
        <v>3363.1244234781111</v>
      </c>
      <c r="T17" s="16">
        <f t="shared" si="7"/>
        <v>4011.8694984781114</v>
      </c>
    </row>
    <row r="18" spans="1:20" x14ac:dyDescent="0.2">
      <c r="A18" s="6" t="s">
        <v>210</v>
      </c>
      <c r="B18" s="8">
        <v>3769200</v>
      </c>
      <c r="C18" s="7">
        <v>3277400</v>
      </c>
      <c r="D18" s="19">
        <v>18.3</v>
      </c>
      <c r="E18" s="19">
        <v>31.9</v>
      </c>
      <c r="F18" s="19">
        <v>49.8</v>
      </c>
      <c r="G18" s="30">
        <f t="shared" si="14"/>
        <v>599764.19999999995</v>
      </c>
      <c r="H18" s="30">
        <f t="shared" si="15"/>
        <v>1045490.6</v>
      </c>
      <c r="I18" s="30">
        <f t="shared" si="16"/>
        <v>1632145.2</v>
      </c>
      <c r="J18" s="16"/>
      <c r="K18" s="16"/>
      <c r="L18" s="16">
        <f t="shared" si="0"/>
        <v>77.969346000000002</v>
      </c>
      <c r="M18" s="16">
        <f t="shared" si="1"/>
        <v>155.7780994</v>
      </c>
      <c r="N18" s="16">
        <f t="shared" si="2"/>
        <v>200.7538596</v>
      </c>
      <c r="O18" s="16">
        <f t="shared" si="3"/>
        <v>434.501305</v>
      </c>
      <c r="P18" s="30">
        <f t="shared" si="4"/>
        <v>334231.77307689999</v>
      </c>
      <c r="Q18" s="30">
        <f t="shared" si="5"/>
        <v>434501.30499999999</v>
      </c>
      <c r="R18" s="30">
        <f t="shared" si="6"/>
        <v>384366.53903849999</v>
      </c>
      <c r="S18" s="16">
        <v>2291.9448501073439</v>
      </c>
      <c r="T18" s="16">
        <f t="shared" si="7"/>
        <v>2726.4461551073437</v>
      </c>
    </row>
    <row r="19" spans="1:20" x14ac:dyDescent="0.2">
      <c r="A19" s="15" t="s">
        <v>227</v>
      </c>
      <c r="B19" s="8">
        <v>988800</v>
      </c>
      <c r="C19" s="9">
        <v>756200</v>
      </c>
      <c r="D19" s="19">
        <v>16.100000000000001</v>
      </c>
      <c r="E19" s="19">
        <v>28.4</v>
      </c>
      <c r="F19" s="19">
        <v>55.5</v>
      </c>
      <c r="G19" s="30">
        <f t="shared" si="14"/>
        <v>121748.2</v>
      </c>
      <c r="H19" s="30">
        <f t="shared" si="15"/>
        <v>214760.8</v>
      </c>
      <c r="I19" s="30">
        <f t="shared" si="16"/>
        <v>419691</v>
      </c>
      <c r="J19" s="16"/>
      <c r="K19" s="16"/>
      <c r="L19" s="16">
        <f t="shared" si="0"/>
        <v>15.827266</v>
      </c>
      <c r="M19" s="16">
        <f t="shared" si="1"/>
        <v>31.999359200000001</v>
      </c>
      <c r="N19" s="16">
        <f t="shared" si="2"/>
        <v>51.621993000000003</v>
      </c>
      <c r="O19" s="16">
        <f t="shared" si="3"/>
        <v>99.448618199999999</v>
      </c>
      <c r="P19" s="30">
        <f t="shared" si="4"/>
        <v>76498.937076899994</v>
      </c>
      <c r="Q19" s="30">
        <f t="shared" si="5"/>
        <v>99448.618199999997</v>
      </c>
      <c r="R19" s="30">
        <f t="shared" si="6"/>
        <v>87973.777638500003</v>
      </c>
      <c r="S19" s="16">
        <v>601.2615588947632</v>
      </c>
      <c r="T19" s="16">
        <f t="shared" si="7"/>
        <v>700.71017709476314</v>
      </c>
    </row>
    <row r="20" spans="1:20" x14ac:dyDescent="0.2">
      <c r="A20" s="6" t="s">
        <v>228</v>
      </c>
      <c r="B20" s="8">
        <v>6832000</v>
      </c>
      <c r="C20" s="7">
        <v>4639500</v>
      </c>
      <c r="D20" s="21">
        <v>5.2</v>
      </c>
      <c r="E20" s="21">
        <v>36.9</v>
      </c>
      <c r="F20" s="21">
        <v>58</v>
      </c>
      <c r="G20" s="30">
        <f t="shared" si="14"/>
        <v>241254</v>
      </c>
      <c r="H20" s="30">
        <f t="shared" si="15"/>
        <v>1711975.5</v>
      </c>
      <c r="I20" s="30">
        <f t="shared" si="16"/>
        <v>2690910</v>
      </c>
      <c r="J20" s="16"/>
      <c r="K20" s="16"/>
      <c r="L20" s="16">
        <f t="shared" si="0"/>
        <v>31.363019999999999</v>
      </c>
      <c r="M20" s="16">
        <f t="shared" si="1"/>
        <v>255.0843495</v>
      </c>
      <c r="N20" s="16">
        <f t="shared" si="2"/>
        <v>330.98192999999998</v>
      </c>
      <c r="O20" s="16">
        <f t="shared" si="3"/>
        <v>617.42929949999996</v>
      </c>
      <c r="P20" s="30">
        <f t="shared" si="4"/>
        <v>474945.61499999999</v>
      </c>
      <c r="Q20" s="30">
        <f t="shared" si="5"/>
        <v>617429.29949999996</v>
      </c>
      <c r="R20" s="30">
        <f t="shared" si="6"/>
        <v>546187.45724999998</v>
      </c>
      <c r="S20" s="16">
        <v>4154.3476642081541</v>
      </c>
      <c r="T20" s="16">
        <f t="shared" si="7"/>
        <v>4771.7769637081537</v>
      </c>
    </row>
    <row r="21" spans="1:20" s="5" customFormat="1" x14ac:dyDescent="0.2">
      <c r="A21" s="32" t="s">
        <v>231</v>
      </c>
      <c r="B21" s="31">
        <f>SUM(B4:B20)</f>
        <v>173814953</v>
      </c>
      <c r="C21" s="31">
        <f>SUM(C4:C20)</f>
        <v>141569900</v>
      </c>
      <c r="D21" s="32"/>
      <c r="E21" s="32"/>
      <c r="F21" s="32"/>
      <c r="G21" s="33">
        <f>ROUND(SUM(G4:G20),2)</f>
        <v>55089205.340000004</v>
      </c>
      <c r="H21" s="33">
        <f>ROUND(SUM(H4:H20),2)</f>
        <v>31923764.579999998</v>
      </c>
      <c r="I21" s="33">
        <f>ROUND(SUM(I4:I20),2)</f>
        <v>59434428.079999998</v>
      </c>
      <c r="J21" s="31">
        <v>0</v>
      </c>
      <c r="K21" s="31">
        <v>0</v>
      </c>
      <c r="L21" s="31">
        <f t="shared" ref="L21:R21" si="17">ROUND(SUM(L4:L20),7)</f>
        <v>7161.5966941999995</v>
      </c>
      <c r="M21" s="31">
        <f t="shared" si="17"/>
        <v>4756.6409223999999</v>
      </c>
      <c r="N21" s="31">
        <f t="shared" si="17"/>
        <v>7310.4346538</v>
      </c>
      <c r="O21" s="31">
        <f t="shared" si="17"/>
        <v>19228.672270399999</v>
      </c>
      <c r="P21" s="33">
        <f t="shared" si="17"/>
        <v>14791286.361846101</v>
      </c>
      <c r="Q21" s="33">
        <f t="shared" si="17"/>
        <v>19228672.270399999</v>
      </c>
      <c r="R21" s="33">
        <f t="shared" si="17"/>
        <v>17009979.3161234</v>
      </c>
      <c r="S21" s="31">
        <v>105692</v>
      </c>
      <c r="T21" s="31">
        <f t="shared" si="7"/>
        <v>124920.6722704</v>
      </c>
    </row>
    <row r="22" spans="1:20" x14ac:dyDescent="0.2">
      <c r="N22" s="16"/>
    </row>
    <row r="23" spans="1:20" x14ac:dyDescent="0.2">
      <c r="N23" s="16"/>
    </row>
  </sheetData>
  <mergeCells count="6">
    <mergeCell ref="P2:R2"/>
    <mergeCell ref="J1:K2"/>
    <mergeCell ref="L1:R1"/>
    <mergeCell ref="D2:F2"/>
    <mergeCell ref="L2:O2"/>
    <mergeCell ref="G1:I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8"/>
  <sheetViews>
    <sheetView workbookViewId="0">
      <pane xSplit="1" ySplit="3" topLeftCell="B4" activePane="bottomRight" state="frozen"/>
      <selection pane="topRight" activeCell="B1" sqref="B1"/>
      <selection pane="bottomLeft" activeCell="A4" sqref="A4"/>
      <selection pane="bottomRight" activeCell="A3" sqref="A3"/>
    </sheetView>
  </sheetViews>
  <sheetFormatPr defaultRowHeight="12" x14ac:dyDescent="0.2"/>
  <cols>
    <col min="1" max="1" width="32.85546875" style="20" bestFit="1" customWidth="1"/>
    <col min="2" max="2" width="9.7109375" style="1" bestFit="1" customWidth="1"/>
    <col min="3" max="3" width="10" style="1" bestFit="1" customWidth="1"/>
    <col min="4" max="4" width="8.7109375" style="20" bestFit="1" customWidth="1"/>
    <col min="5" max="5" width="6.7109375" style="20" bestFit="1" customWidth="1"/>
    <col min="6" max="6" width="6.140625" style="20" bestFit="1" customWidth="1"/>
    <col min="7" max="8" width="8.7109375" style="1" bestFit="1" customWidth="1"/>
    <col min="9" max="9" width="9.5703125" style="1" bestFit="1" customWidth="1"/>
    <col min="10" max="11" width="9.140625" style="1"/>
    <col min="12" max="12" width="10.140625" style="1" customWidth="1"/>
    <col min="13" max="13" width="10.140625" style="20" customWidth="1"/>
    <col min="14" max="14" width="8.7109375" style="1" bestFit="1" customWidth="1"/>
    <col min="15" max="15" width="6.7109375" style="1" bestFit="1" customWidth="1"/>
    <col min="16" max="16" width="6.140625" style="1" bestFit="1" customWidth="1"/>
    <col min="17" max="17" width="5.7109375" style="1" bestFit="1" customWidth="1"/>
    <col min="18" max="18" width="9.7109375" style="20" customWidth="1"/>
    <col min="19" max="19" width="9.7109375" style="20" bestFit="1" customWidth="1"/>
    <col min="20" max="20" width="8.7109375" style="20" bestFit="1" customWidth="1"/>
    <col min="21" max="21" width="12.7109375" style="1" customWidth="1"/>
    <col min="22" max="16384" width="9.140625" style="1"/>
  </cols>
  <sheetData>
    <row r="1" spans="1:22" ht="12" customHeight="1" x14ac:dyDescent="0.2">
      <c r="A1" s="2" t="s">
        <v>405</v>
      </c>
      <c r="B1" s="3"/>
      <c r="G1" s="187" t="s">
        <v>369</v>
      </c>
      <c r="H1" s="187"/>
      <c r="I1" s="187"/>
      <c r="J1" s="180" t="s">
        <v>241</v>
      </c>
      <c r="K1" s="180"/>
      <c r="L1" s="180" t="s">
        <v>379</v>
      </c>
      <c r="M1" s="180"/>
      <c r="N1" s="190" t="s">
        <v>388</v>
      </c>
      <c r="O1" s="190"/>
      <c r="P1" s="190"/>
      <c r="Q1" s="190"/>
      <c r="R1" s="190"/>
      <c r="S1" s="190"/>
      <c r="T1" s="190"/>
    </row>
    <row r="2" spans="1:22" ht="12" customHeight="1" x14ac:dyDescent="0.2">
      <c r="A2" s="2"/>
      <c r="B2" s="3"/>
      <c r="D2" s="185" t="s">
        <v>236</v>
      </c>
      <c r="E2" s="185"/>
      <c r="F2" s="185"/>
      <c r="G2" s="187"/>
      <c r="H2" s="187"/>
      <c r="I2" s="187"/>
      <c r="J2" s="180"/>
      <c r="K2" s="180"/>
      <c r="L2" s="180"/>
      <c r="M2" s="180"/>
      <c r="N2" s="191" t="s">
        <v>387</v>
      </c>
      <c r="O2" s="191"/>
      <c r="P2" s="191"/>
      <c r="Q2" s="191"/>
      <c r="R2" s="184" t="s">
        <v>395</v>
      </c>
      <c r="S2" s="184"/>
      <c r="T2" s="184"/>
    </row>
    <row r="3" spans="1:22" ht="36" x14ac:dyDescent="0.2">
      <c r="A3" s="4" t="s">
        <v>0</v>
      </c>
      <c r="B3" s="4" t="s">
        <v>1</v>
      </c>
      <c r="C3" s="4" t="s">
        <v>232</v>
      </c>
      <c r="D3" s="18" t="s">
        <v>233</v>
      </c>
      <c r="E3" s="18" t="s">
        <v>234</v>
      </c>
      <c r="F3" s="18" t="s">
        <v>235</v>
      </c>
      <c r="G3" s="18" t="s">
        <v>233</v>
      </c>
      <c r="H3" s="18" t="s">
        <v>234</v>
      </c>
      <c r="I3" s="18" t="s">
        <v>235</v>
      </c>
      <c r="J3" s="18" t="s">
        <v>237</v>
      </c>
      <c r="K3" s="18" t="s">
        <v>240</v>
      </c>
      <c r="L3" s="28" t="s">
        <v>237</v>
      </c>
      <c r="M3" s="145" t="s">
        <v>240</v>
      </c>
      <c r="N3" s="18" t="s">
        <v>233</v>
      </c>
      <c r="O3" s="18" t="s">
        <v>234</v>
      </c>
      <c r="P3" s="18" t="s">
        <v>235</v>
      </c>
      <c r="Q3" s="18" t="s">
        <v>231</v>
      </c>
      <c r="R3" s="18" t="s">
        <v>381</v>
      </c>
      <c r="S3" s="18" t="s">
        <v>382</v>
      </c>
      <c r="T3" s="18" t="s">
        <v>239</v>
      </c>
      <c r="U3" s="168" t="s">
        <v>398</v>
      </c>
      <c r="V3" s="40" t="s">
        <v>400</v>
      </c>
    </row>
    <row r="4" spans="1:22" x14ac:dyDescent="0.2">
      <c r="A4" s="6" t="s">
        <v>3</v>
      </c>
      <c r="B4" s="7">
        <v>1468341</v>
      </c>
      <c r="C4" s="7">
        <v>1160500</v>
      </c>
      <c r="D4" s="19">
        <v>47.8</v>
      </c>
      <c r="E4" s="19">
        <v>23</v>
      </c>
      <c r="F4" s="19">
        <v>29.2</v>
      </c>
      <c r="G4" s="30">
        <f>ROUND(D4/100*C4,2)</f>
        <v>554719</v>
      </c>
      <c r="H4" s="30">
        <f>ROUND(E4/100*C4,2)</f>
        <v>266915</v>
      </c>
      <c r="I4" s="30">
        <f>ROUND(F4/100*C4,2)</f>
        <v>338866</v>
      </c>
      <c r="J4" s="16"/>
      <c r="K4" s="131"/>
      <c r="L4" s="131"/>
      <c r="M4" s="146"/>
      <c r="N4" s="16">
        <f>ROUND(15.7*G4/100000,7)</f>
        <v>87.090883000000005</v>
      </c>
      <c r="O4" s="16">
        <f>ROUND(10.3*H4/100000,7)</f>
        <v>27.492245</v>
      </c>
      <c r="P4" s="16">
        <f>ROUND(5.5*I4/100000,7)</f>
        <v>18.637630000000001</v>
      </c>
      <c r="Q4" s="16">
        <f>ROUND(SUM(N4:P4),7)</f>
        <v>133.22075799999999</v>
      </c>
      <c r="R4" s="30">
        <f>ROUND(Q4*100/0.13,7)</f>
        <v>102477.5061538</v>
      </c>
      <c r="S4" s="30">
        <f>ROUND(Q4*100/0.1,7)</f>
        <v>133220.758</v>
      </c>
      <c r="T4" s="30">
        <f>ROUND((R4+S4)/2,7)</f>
        <v>117849.1320769</v>
      </c>
      <c r="U4" s="16">
        <v>1375.2762811967898</v>
      </c>
      <c r="V4" s="16">
        <f>SUM(Q4+U4)</f>
        <v>1508.4970391967897</v>
      </c>
    </row>
    <row r="5" spans="1:22" x14ac:dyDescent="0.2">
      <c r="A5" s="6" t="s">
        <v>11</v>
      </c>
      <c r="B5" s="8">
        <v>1463300</v>
      </c>
      <c r="C5" s="10">
        <v>1185200</v>
      </c>
      <c r="D5" s="1">
        <v>39.4</v>
      </c>
      <c r="E5" s="1">
        <v>17.100000000000001</v>
      </c>
      <c r="F5" s="1">
        <v>43.5</v>
      </c>
      <c r="G5" s="30">
        <f t="shared" ref="G5:G13" si="0">ROUND(D5/100*C5,2)</f>
        <v>466968.8</v>
      </c>
      <c r="H5" s="30">
        <f t="shared" ref="H5:H13" si="1">ROUND(E5/100*C5,2)</f>
        <v>202669.2</v>
      </c>
      <c r="I5" s="30">
        <f t="shared" ref="I5:I13" si="2">ROUND(F5/100*C5,2)</f>
        <v>515562</v>
      </c>
      <c r="J5" s="16">
        <v>12</v>
      </c>
      <c r="K5" s="131">
        <v>51</v>
      </c>
      <c r="L5" s="131"/>
      <c r="M5" s="146"/>
      <c r="N5" s="16">
        <f t="shared" ref="N5:N8" si="3">ROUND(15.7*G5/100000,7)</f>
        <v>73.314101600000001</v>
      </c>
      <c r="O5" s="16">
        <f t="shared" ref="O5:O8" si="4">ROUND(10.3*H5/100000,7)</f>
        <v>20.874927599999999</v>
      </c>
      <c r="P5" s="16">
        <f t="shared" ref="P5:P8" si="5">ROUND(5.5*I5/100000,7)</f>
        <v>28.355910000000002</v>
      </c>
      <c r="Q5" s="16">
        <f t="shared" ref="Q5:Q8" si="6">ROUND(SUM(N5:P5),7)</f>
        <v>122.5449392</v>
      </c>
      <c r="R5" s="30">
        <f t="shared" ref="R5:R32" si="7">ROUND(Q5*100/0.13,7)</f>
        <v>94265.337846199996</v>
      </c>
      <c r="S5" s="30">
        <f t="shared" ref="S5:S32" si="8">ROUND(Q5*100/0.1,7)</f>
        <v>122544.93919999999</v>
      </c>
      <c r="T5" s="30">
        <f t="shared" ref="T5:T32" si="9">ROUND((R5+S5)/2,7)</f>
        <v>108405.1385231</v>
      </c>
      <c r="U5" s="16">
        <v>1370.554784123894</v>
      </c>
      <c r="V5" s="16">
        <f t="shared" ref="V5:V33" si="10">SUM(Q5+U5)</f>
        <v>1493.0997233238941</v>
      </c>
    </row>
    <row r="6" spans="1:22" x14ac:dyDescent="0.2">
      <c r="A6" s="6" t="s">
        <v>15</v>
      </c>
      <c r="B6" s="8">
        <v>4587400</v>
      </c>
      <c r="C6" s="10">
        <v>4329100</v>
      </c>
      <c r="D6" s="19">
        <v>38.299999999999997</v>
      </c>
      <c r="E6" s="19">
        <v>12.1</v>
      </c>
      <c r="F6" s="19">
        <v>49.6</v>
      </c>
      <c r="G6" s="30">
        <f t="shared" si="0"/>
        <v>1658045.3</v>
      </c>
      <c r="H6" s="30">
        <f t="shared" si="1"/>
        <v>523821.1</v>
      </c>
      <c r="I6" s="30">
        <f t="shared" si="2"/>
        <v>2147233.6</v>
      </c>
      <c r="J6" s="16"/>
      <c r="K6" s="131"/>
      <c r="L6" s="131"/>
      <c r="M6" s="146"/>
      <c r="N6" s="16">
        <f t="shared" si="3"/>
        <v>260.31311210000001</v>
      </c>
      <c r="O6" s="16">
        <f t="shared" si="4"/>
        <v>53.953573300000002</v>
      </c>
      <c r="P6" s="16">
        <f t="shared" si="5"/>
        <v>118.097848</v>
      </c>
      <c r="Q6" s="16">
        <f t="shared" si="6"/>
        <v>432.36453340000003</v>
      </c>
      <c r="R6" s="30">
        <f t="shared" si="7"/>
        <v>332588.10261539998</v>
      </c>
      <c r="S6" s="30">
        <f t="shared" si="8"/>
        <v>432364.53340000001</v>
      </c>
      <c r="T6" s="30">
        <f t="shared" si="9"/>
        <v>382476.31800770003</v>
      </c>
      <c r="U6" s="16">
        <v>4296.6466320576446</v>
      </c>
      <c r="V6" s="16">
        <f t="shared" si="10"/>
        <v>4729.0111654576449</v>
      </c>
    </row>
    <row r="7" spans="1:22" x14ac:dyDescent="0.2">
      <c r="A7" s="6" t="s">
        <v>20</v>
      </c>
      <c r="B7" s="8">
        <v>4705100</v>
      </c>
      <c r="C7" s="9">
        <v>4665900</v>
      </c>
      <c r="D7" s="19">
        <v>9.4</v>
      </c>
      <c r="E7" s="19">
        <v>45.9</v>
      </c>
      <c r="F7" s="19">
        <v>44.7</v>
      </c>
      <c r="G7" s="30">
        <f t="shared" si="0"/>
        <v>438594.6</v>
      </c>
      <c r="H7" s="30">
        <f t="shared" si="1"/>
        <v>2141648.1</v>
      </c>
      <c r="I7" s="30">
        <f t="shared" si="2"/>
        <v>2085657.3</v>
      </c>
      <c r="J7" s="16">
        <v>198</v>
      </c>
      <c r="K7" s="132">
        <v>2414</v>
      </c>
      <c r="L7" s="132"/>
      <c r="M7" s="147"/>
      <c r="N7" s="16">
        <f t="shared" si="3"/>
        <v>68.859352200000004</v>
      </c>
      <c r="O7" s="16">
        <f t="shared" si="4"/>
        <v>220.58975430000001</v>
      </c>
      <c r="P7" s="16">
        <f t="shared" si="5"/>
        <v>114.7111515</v>
      </c>
      <c r="Q7" s="16">
        <f t="shared" si="6"/>
        <v>404.160258</v>
      </c>
      <c r="R7" s="30">
        <f t="shared" si="7"/>
        <v>310892.5061538</v>
      </c>
      <c r="S7" s="30">
        <f t="shared" si="8"/>
        <v>404160.25799999997</v>
      </c>
      <c r="T7" s="30">
        <f t="shared" si="9"/>
        <v>357526.38207689999</v>
      </c>
      <c r="U7" s="16">
        <v>4406.8867045591014</v>
      </c>
      <c r="V7" s="16">
        <f t="shared" si="10"/>
        <v>4811.0469625591013</v>
      </c>
    </row>
    <row r="8" spans="1:22" x14ac:dyDescent="0.2">
      <c r="A8" s="6" t="s">
        <v>27</v>
      </c>
      <c r="B8" s="8">
        <v>1158000</v>
      </c>
      <c r="C8" s="9">
        <v>843000</v>
      </c>
      <c r="D8" s="19">
        <v>20.5</v>
      </c>
      <c r="E8" s="19">
        <v>32.6</v>
      </c>
      <c r="F8" s="19">
        <v>47</v>
      </c>
      <c r="G8" s="30">
        <f t="shared" si="0"/>
        <v>172815</v>
      </c>
      <c r="H8" s="30">
        <f t="shared" si="1"/>
        <v>274818</v>
      </c>
      <c r="I8" s="30">
        <f t="shared" si="2"/>
        <v>396210</v>
      </c>
      <c r="J8" s="30"/>
      <c r="K8" s="146"/>
      <c r="L8" s="146"/>
      <c r="M8" s="146"/>
      <c r="N8" s="16">
        <f t="shared" si="3"/>
        <v>27.131955000000001</v>
      </c>
      <c r="O8" s="16">
        <f t="shared" si="4"/>
        <v>28.306253999999999</v>
      </c>
      <c r="P8" s="16">
        <f t="shared" si="5"/>
        <v>21.791550000000001</v>
      </c>
      <c r="Q8" s="16">
        <f t="shared" si="6"/>
        <v>77.229759000000001</v>
      </c>
      <c r="R8" s="30">
        <f t="shared" si="7"/>
        <v>59407.506923100002</v>
      </c>
      <c r="S8" s="30">
        <f t="shared" si="8"/>
        <v>77229.759000000005</v>
      </c>
      <c r="T8" s="30">
        <f t="shared" si="9"/>
        <v>68318.6329616</v>
      </c>
      <c r="U8" s="16">
        <v>1084.6049613992136</v>
      </c>
      <c r="V8" s="16">
        <f t="shared" si="10"/>
        <v>1161.8347203992137</v>
      </c>
    </row>
    <row r="9" spans="1:22" x14ac:dyDescent="0.2">
      <c r="A9" s="6" t="s">
        <v>31</v>
      </c>
      <c r="B9" s="8">
        <v>3400900</v>
      </c>
      <c r="C9" s="9">
        <v>3052800</v>
      </c>
      <c r="D9" s="19">
        <v>7.1</v>
      </c>
      <c r="E9" s="19">
        <v>35.200000000000003</v>
      </c>
      <c r="F9" s="19">
        <v>57.7</v>
      </c>
      <c r="G9" s="30">
        <f t="shared" si="0"/>
        <v>216748.79999999999</v>
      </c>
      <c r="H9" s="30">
        <f t="shared" si="1"/>
        <v>1074585.6000000001</v>
      </c>
      <c r="I9" s="30">
        <f t="shared" si="2"/>
        <v>1761465.6</v>
      </c>
      <c r="J9" s="30">
        <v>92</v>
      </c>
      <c r="K9" s="147">
        <v>2365</v>
      </c>
      <c r="L9" s="147">
        <v>92</v>
      </c>
      <c r="M9" s="149">
        <v>2331</v>
      </c>
      <c r="N9" s="16"/>
      <c r="O9" s="16"/>
      <c r="P9" s="30"/>
      <c r="Q9" s="30">
        <f>J9</f>
        <v>92</v>
      </c>
      <c r="R9" s="30">
        <f t="shared" si="7"/>
        <v>70769.230769200003</v>
      </c>
      <c r="S9" s="30">
        <f t="shared" si="8"/>
        <v>92000</v>
      </c>
      <c r="T9" s="30">
        <f t="shared" si="9"/>
        <v>81384.615384599994</v>
      </c>
      <c r="U9" s="16">
        <v>3185.3480252353929</v>
      </c>
      <c r="V9" s="16">
        <f t="shared" si="10"/>
        <v>3277.3480252353929</v>
      </c>
    </row>
    <row r="10" spans="1:22" x14ac:dyDescent="0.2">
      <c r="A10" s="6" t="s">
        <v>50</v>
      </c>
      <c r="B10" s="8">
        <v>1746900</v>
      </c>
      <c r="C10" s="9">
        <v>1541200</v>
      </c>
      <c r="D10" s="19">
        <v>2.1</v>
      </c>
      <c r="E10" s="19">
        <v>29</v>
      </c>
      <c r="F10" s="19">
        <v>69</v>
      </c>
      <c r="G10" s="30">
        <f t="shared" si="0"/>
        <v>32365.200000000001</v>
      </c>
      <c r="H10" s="30">
        <f t="shared" si="1"/>
        <v>446948</v>
      </c>
      <c r="I10" s="30">
        <f t="shared" si="2"/>
        <v>1063428</v>
      </c>
      <c r="J10" s="30">
        <v>38</v>
      </c>
      <c r="K10" s="147">
        <v>15791</v>
      </c>
      <c r="L10" s="147">
        <v>35</v>
      </c>
      <c r="M10" s="149">
        <v>11903</v>
      </c>
      <c r="N10" s="16"/>
      <c r="O10" s="16"/>
      <c r="P10" s="30"/>
      <c r="Q10" s="30">
        <f>J10</f>
        <v>38</v>
      </c>
      <c r="R10" s="30">
        <f t="shared" si="7"/>
        <v>29230.769230800001</v>
      </c>
      <c r="S10" s="30">
        <f t="shared" si="8"/>
        <v>38000</v>
      </c>
      <c r="T10" s="30">
        <f t="shared" si="9"/>
        <v>33615.384615399998</v>
      </c>
      <c r="U10" s="16">
        <v>1636.1799715615596</v>
      </c>
      <c r="V10" s="16">
        <f t="shared" si="10"/>
        <v>1674.1799715615596</v>
      </c>
    </row>
    <row r="11" spans="1:22" x14ac:dyDescent="0.2">
      <c r="A11" s="6" t="s">
        <v>53</v>
      </c>
      <c r="B11" s="8">
        <v>5268800</v>
      </c>
      <c r="C11" s="9">
        <v>4885200</v>
      </c>
      <c r="D11" s="19">
        <v>3.1</v>
      </c>
      <c r="E11" s="19">
        <v>38.6</v>
      </c>
      <c r="F11" s="19">
        <v>58.3</v>
      </c>
      <c r="G11" s="30">
        <f t="shared" si="0"/>
        <v>151441.20000000001</v>
      </c>
      <c r="H11" s="30">
        <f t="shared" si="1"/>
        <v>1885687.2</v>
      </c>
      <c r="I11" s="30">
        <f t="shared" si="2"/>
        <v>2848071.6</v>
      </c>
      <c r="J11" s="30">
        <v>121</v>
      </c>
      <c r="K11" s="148">
        <v>51557</v>
      </c>
      <c r="L11" s="148">
        <v>121</v>
      </c>
      <c r="M11" s="149">
        <v>65109</v>
      </c>
      <c r="N11" s="16"/>
      <c r="O11" s="16"/>
      <c r="P11" s="30"/>
      <c r="Q11" s="30">
        <f>J11</f>
        <v>121</v>
      </c>
      <c r="R11" s="30">
        <f t="shared" si="7"/>
        <v>93076.923076899999</v>
      </c>
      <c r="S11" s="30">
        <f t="shared" si="8"/>
        <v>121000</v>
      </c>
      <c r="T11" s="30">
        <f t="shared" si="9"/>
        <v>107038.46153850001</v>
      </c>
      <c r="U11" s="16">
        <v>4934.858912452657</v>
      </c>
      <c r="V11" s="16">
        <f t="shared" si="10"/>
        <v>5055.858912452657</v>
      </c>
    </row>
    <row r="12" spans="1:22" x14ac:dyDescent="0.2">
      <c r="A12" s="6" t="s">
        <v>63</v>
      </c>
      <c r="B12" s="8">
        <v>686800</v>
      </c>
      <c r="C12" s="9">
        <v>570900</v>
      </c>
      <c r="D12" s="19">
        <v>4.2</v>
      </c>
      <c r="E12" s="19">
        <v>20.2</v>
      </c>
      <c r="F12" s="19">
        <v>75.599999999999994</v>
      </c>
      <c r="G12" s="30">
        <f t="shared" si="0"/>
        <v>23977.8</v>
      </c>
      <c r="H12" s="30">
        <f t="shared" si="1"/>
        <v>115321.8</v>
      </c>
      <c r="I12" s="30">
        <f t="shared" si="2"/>
        <v>431600.4</v>
      </c>
      <c r="J12" s="30">
        <v>17</v>
      </c>
      <c r="K12" s="147">
        <v>3198</v>
      </c>
      <c r="L12" s="147">
        <v>17</v>
      </c>
      <c r="M12" s="149">
        <v>5556</v>
      </c>
      <c r="N12" s="16"/>
      <c r="O12" s="16"/>
      <c r="P12" s="30"/>
      <c r="Q12" s="30">
        <f>J12</f>
        <v>17</v>
      </c>
      <c r="R12" s="30">
        <f t="shared" si="7"/>
        <v>13076.923076900001</v>
      </c>
      <c r="S12" s="30">
        <f t="shared" si="8"/>
        <v>17000</v>
      </c>
      <c r="T12" s="30">
        <f t="shared" si="9"/>
        <v>15038.4615385</v>
      </c>
      <c r="U12" s="16">
        <v>643.27002373832465</v>
      </c>
      <c r="V12" s="16">
        <f t="shared" si="10"/>
        <v>660.27002373832465</v>
      </c>
    </row>
    <row r="13" spans="1:22" x14ac:dyDescent="0.2">
      <c r="A13" s="6" t="s">
        <v>74</v>
      </c>
      <c r="B13" s="8">
        <v>1944900</v>
      </c>
      <c r="C13" s="9">
        <v>1628100</v>
      </c>
      <c r="D13" s="19">
        <v>55.6</v>
      </c>
      <c r="E13" s="19">
        <v>8.9</v>
      </c>
      <c r="F13" s="19">
        <v>35.5</v>
      </c>
      <c r="G13" s="30">
        <f t="shared" si="0"/>
        <v>905223.6</v>
      </c>
      <c r="H13" s="30">
        <f t="shared" si="1"/>
        <v>144900.9</v>
      </c>
      <c r="I13" s="30">
        <f t="shared" si="2"/>
        <v>577975.5</v>
      </c>
      <c r="J13" s="30"/>
      <c r="K13" s="146"/>
      <c r="L13" s="146"/>
      <c r="M13" s="146"/>
      <c r="N13" s="16">
        <f t="shared" ref="N13:N14" si="11">ROUND(15.7*G13/100000,7)</f>
        <v>142.12010520000001</v>
      </c>
      <c r="O13" s="16">
        <f t="shared" ref="O13:O14" si="12">ROUND(10.3*H13/100000,7)</f>
        <v>14.924792699999999</v>
      </c>
      <c r="P13" s="16">
        <f t="shared" ref="P13:P14" si="13">ROUND(5.5*I13/100000,7)</f>
        <v>31.788652500000001</v>
      </c>
      <c r="Q13" s="16">
        <f t="shared" ref="Q13:Q14" si="14">ROUND(SUM(N13:P13),7)</f>
        <v>188.83355040000001</v>
      </c>
      <c r="R13" s="30">
        <f t="shared" si="7"/>
        <v>145256.5772308</v>
      </c>
      <c r="S13" s="30">
        <f t="shared" si="8"/>
        <v>188833.55040000001</v>
      </c>
      <c r="T13" s="30">
        <f t="shared" si="9"/>
        <v>167045.0638154</v>
      </c>
      <c r="U13" s="16">
        <v>1821.6305608163475</v>
      </c>
      <c r="V13" s="16">
        <f t="shared" si="10"/>
        <v>2010.4641112163474</v>
      </c>
    </row>
    <row r="14" spans="1:22" x14ac:dyDescent="0.2">
      <c r="A14" s="6" t="s">
        <v>77</v>
      </c>
      <c r="B14" s="8">
        <v>12400</v>
      </c>
      <c r="C14" s="7"/>
      <c r="D14" s="19">
        <v>0</v>
      </c>
      <c r="E14" s="19">
        <v>40</v>
      </c>
      <c r="F14" s="19">
        <v>60</v>
      </c>
      <c r="G14" s="30">
        <f>ROUND(D14/100*B14,2)</f>
        <v>0</v>
      </c>
      <c r="H14" s="30">
        <f>ROUND(E14/100*B14,2)</f>
        <v>4960</v>
      </c>
      <c r="I14" s="30">
        <f>ROUND(F14/100*B14,2)</f>
        <v>7440</v>
      </c>
      <c r="J14" s="30"/>
      <c r="K14" s="146"/>
      <c r="L14" s="146"/>
      <c r="M14" s="146"/>
      <c r="N14" s="16">
        <f t="shared" si="11"/>
        <v>0</v>
      </c>
      <c r="O14" s="16">
        <f t="shared" si="12"/>
        <v>0.51088</v>
      </c>
      <c r="P14" s="16">
        <f t="shared" si="13"/>
        <v>0.40920000000000001</v>
      </c>
      <c r="Q14" s="16">
        <f t="shared" si="14"/>
        <v>0.92008000000000001</v>
      </c>
      <c r="R14" s="30">
        <f t="shared" si="7"/>
        <v>707.7538462</v>
      </c>
      <c r="S14" s="30">
        <f t="shared" si="8"/>
        <v>920.08</v>
      </c>
      <c r="T14" s="30">
        <f t="shared" si="9"/>
        <v>813.91692309999996</v>
      </c>
      <c r="U14" s="16">
        <v>11.6140773068655</v>
      </c>
      <c r="V14" s="16">
        <f t="shared" si="10"/>
        <v>12.534157306865501</v>
      </c>
    </row>
    <row r="15" spans="1:22" x14ac:dyDescent="0.2">
      <c r="A15" s="6" t="s">
        <v>91</v>
      </c>
      <c r="B15" s="8">
        <v>4256000</v>
      </c>
      <c r="C15" s="9">
        <v>3781200</v>
      </c>
      <c r="D15" s="19">
        <v>7.1</v>
      </c>
      <c r="E15" s="19">
        <v>29.7</v>
      </c>
      <c r="F15" s="19">
        <v>63.2</v>
      </c>
      <c r="G15" s="30">
        <f t="shared" ref="G15:G29" si="15">ROUND(D15/100*C15,2)</f>
        <v>268465.2</v>
      </c>
      <c r="H15" s="30">
        <f t="shared" ref="H15:H29" si="16">ROUND(E15/100*C15,2)</f>
        <v>1123016.3999999999</v>
      </c>
      <c r="I15" s="30">
        <f t="shared" ref="I15:I29" si="17">ROUND(F15/100*C15,2)</f>
        <v>2389718.4</v>
      </c>
      <c r="J15" s="30">
        <v>95</v>
      </c>
      <c r="K15" s="147">
        <v>19853</v>
      </c>
      <c r="L15" s="147">
        <v>96</v>
      </c>
      <c r="M15" s="149">
        <v>19989</v>
      </c>
      <c r="N15" s="16"/>
      <c r="O15" s="16"/>
      <c r="P15" s="30"/>
      <c r="Q15" s="30">
        <f>L15</f>
        <v>96</v>
      </c>
      <c r="R15" s="30">
        <f t="shared" si="7"/>
        <v>73846.153846200003</v>
      </c>
      <c r="S15" s="30">
        <f t="shared" si="8"/>
        <v>96000</v>
      </c>
      <c r="T15" s="30">
        <f t="shared" si="9"/>
        <v>84923.076923100001</v>
      </c>
      <c r="U15" s="16">
        <v>3986.2510498402876</v>
      </c>
      <c r="V15" s="16">
        <f t="shared" si="10"/>
        <v>4082.2510498402876</v>
      </c>
    </row>
    <row r="16" spans="1:22" x14ac:dyDescent="0.2">
      <c r="A16" s="6" t="s">
        <v>105</v>
      </c>
      <c r="B16" s="8">
        <v>8610700</v>
      </c>
      <c r="C16" s="9">
        <v>8114200</v>
      </c>
      <c r="D16" s="19">
        <v>25.8</v>
      </c>
      <c r="E16" s="19">
        <v>11.9</v>
      </c>
      <c r="F16" s="19">
        <v>62.3</v>
      </c>
      <c r="G16" s="30">
        <f t="shared" si="15"/>
        <v>2093463.6</v>
      </c>
      <c r="H16" s="30">
        <f t="shared" si="16"/>
        <v>965589.8</v>
      </c>
      <c r="I16" s="30">
        <f t="shared" si="17"/>
        <v>5055146.5999999996</v>
      </c>
      <c r="J16" s="30">
        <v>322</v>
      </c>
      <c r="K16" s="146"/>
      <c r="L16" s="146"/>
      <c r="M16" s="146"/>
      <c r="N16" s="16">
        <f t="shared" ref="N16:N17" si="18">ROUND(15.7*G16/100000,7)</f>
        <v>328.6737852</v>
      </c>
      <c r="O16" s="16">
        <f t="shared" ref="O16:O17" si="19">ROUND(10.3*H16/100000,7)</f>
        <v>99.455749400000002</v>
      </c>
      <c r="P16" s="16">
        <f t="shared" ref="P16:P17" si="20">ROUND(5.5*I16/100000,7)</f>
        <v>278.03306300000003</v>
      </c>
      <c r="Q16" s="16">
        <f t="shared" ref="Q16:Q17" si="21">ROUND(SUM(N16:P16),7)</f>
        <v>706.16259760000003</v>
      </c>
      <c r="R16" s="30">
        <f t="shared" si="7"/>
        <v>543201.99815380003</v>
      </c>
      <c r="S16" s="30">
        <f t="shared" si="8"/>
        <v>706162.59759999998</v>
      </c>
      <c r="T16" s="30">
        <f t="shared" si="9"/>
        <v>624682.29787689995</v>
      </c>
      <c r="U16" s="16">
        <v>8064.9464085666732</v>
      </c>
      <c r="V16" s="16">
        <f t="shared" si="10"/>
        <v>8771.1090061666728</v>
      </c>
    </row>
    <row r="17" spans="1:22" x14ac:dyDescent="0.2">
      <c r="A17" s="6" t="s">
        <v>111</v>
      </c>
      <c r="B17" s="8">
        <v>2456000</v>
      </c>
      <c r="C17" s="9">
        <v>2243700</v>
      </c>
      <c r="D17" s="19">
        <v>34</v>
      </c>
      <c r="E17" s="19">
        <v>20.6</v>
      </c>
      <c r="F17" s="19">
        <v>45.3</v>
      </c>
      <c r="G17" s="30">
        <f t="shared" si="15"/>
        <v>762858</v>
      </c>
      <c r="H17" s="30">
        <f t="shared" si="16"/>
        <v>462202.2</v>
      </c>
      <c r="I17" s="30">
        <f t="shared" si="17"/>
        <v>1016396.1</v>
      </c>
      <c r="J17" s="30"/>
      <c r="K17" s="146"/>
      <c r="L17" s="146"/>
      <c r="M17" s="146"/>
      <c r="N17" s="16">
        <f t="shared" si="18"/>
        <v>119.76870599999999</v>
      </c>
      <c r="O17" s="16">
        <f t="shared" si="19"/>
        <v>47.606826599999998</v>
      </c>
      <c r="P17" s="16">
        <f t="shared" si="20"/>
        <v>55.901785500000003</v>
      </c>
      <c r="Q17" s="16">
        <f t="shared" si="21"/>
        <v>223.2773181</v>
      </c>
      <c r="R17" s="30">
        <f t="shared" si="7"/>
        <v>171751.7831538</v>
      </c>
      <c r="S17" s="30">
        <f t="shared" si="8"/>
        <v>223277.3181</v>
      </c>
      <c r="T17" s="30">
        <f t="shared" si="9"/>
        <v>197514.55062689999</v>
      </c>
      <c r="U17" s="16">
        <v>2300.3366020694893</v>
      </c>
      <c r="V17" s="16">
        <f t="shared" si="10"/>
        <v>2523.6139201694896</v>
      </c>
    </row>
    <row r="18" spans="1:22" x14ac:dyDescent="0.2">
      <c r="A18" s="6" t="s">
        <v>113</v>
      </c>
      <c r="B18" s="8">
        <v>1157000</v>
      </c>
      <c r="C18" s="9">
        <v>940900</v>
      </c>
      <c r="D18" s="19">
        <v>8.8000000000000007</v>
      </c>
      <c r="E18" s="19">
        <v>24</v>
      </c>
      <c r="F18" s="19">
        <v>67.2</v>
      </c>
      <c r="G18" s="30">
        <f t="shared" si="15"/>
        <v>82799.199999999997</v>
      </c>
      <c r="H18" s="30">
        <f t="shared" si="16"/>
        <v>225816</v>
      </c>
      <c r="I18" s="30">
        <f t="shared" si="17"/>
        <v>632284.80000000005</v>
      </c>
      <c r="J18" s="30"/>
      <c r="K18" s="146"/>
      <c r="L18" s="146">
        <v>25</v>
      </c>
      <c r="M18" s="146">
        <v>1195</v>
      </c>
      <c r="N18" s="16"/>
      <c r="O18" s="16"/>
      <c r="P18" s="30"/>
      <c r="Q18" s="30">
        <f>L18</f>
        <v>25</v>
      </c>
      <c r="R18" s="30">
        <f t="shared" si="7"/>
        <v>19230.769230800001</v>
      </c>
      <c r="S18" s="30">
        <f t="shared" si="8"/>
        <v>25000</v>
      </c>
      <c r="T18" s="30">
        <f t="shared" si="9"/>
        <v>22115.384615399998</v>
      </c>
      <c r="U18" s="16">
        <v>1083.6683422615631</v>
      </c>
      <c r="V18" s="16">
        <f t="shared" si="10"/>
        <v>1108.6683422615631</v>
      </c>
    </row>
    <row r="19" spans="1:22" x14ac:dyDescent="0.2">
      <c r="A19" s="6" t="s">
        <v>119</v>
      </c>
      <c r="B19" s="8">
        <v>1634800</v>
      </c>
      <c r="C19" s="9">
        <v>1343700</v>
      </c>
      <c r="D19" s="19">
        <v>7.9</v>
      </c>
      <c r="E19" s="19">
        <v>19.600000000000001</v>
      </c>
      <c r="F19" s="19">
        <v>72.5</v>
      </c>
      <c r="G19" s="30">
        <f t="shared" si="15"/>
        <v>106152.3</v>
      </c>
      <c r="H19" s="30">
        <f t="shared" si="16"/>
        <v>263365.2</v>
      </c>
      <c r="I19" s="30">
        <f t="shared" si="17"/>
        <v>974182.5</v>
      </c>
      <c r="J19" s="30">
        <v>50</v>
      </c>
      <c r="K19" s="147">
        <v>2305</v>
      </c>
      <c r="L19" s="147">
        <v>50</v>
      </c>
      <c r="M19" s="149">
        <v>2266</v>
      </c>
      <c r="N19" s="16"/>
      <c r="O19" s="16"/>
      <c r="P19" s="30"/>
      <c r="Q19" s="30">
        <f>J19</f>
        <v>50</v>
      </c>
      <c r="R19" s="30">
        <f t="shared" si="7"/>
        <v>38461.5384615</v>
      </c>
      <c r="S19" s="30">
        <f t="shared" si="8"/>
        <v>50000</v>
      </c>
      <c r="T19" s="30">
        <f t="shared" si="9"/>
        <v>44230.769230799997</v>
      </c>
      <c r="U19" s="16">
        <v>1531.1849662309448</v>
      </c>
      <c r="V19" s="16">
        <f t="shared" si="10"/>
        <v>1581.1849662309448</v>
      </c>
    </row>
    <row r="20" spans="1:22" x14ac:dyDescent="0.2">
      <c r="A20" s="6" t="s">
        <v>122</v>
      </c>
      <c r="B20" s="8">
        <v>938300</v>
      </c>
      <c r="C20" s="8">
        <v>637800</v>
      </c>
      <c r="D20" s="19">
        <v>16.7</v>
      </c>
      <c r="E20" s="19">
        <v>26</v>
      </c>
      <c r="F20" s="19">
        <v>57.3</v>
      </c>
      <c r="G20" s="30">
        <f t="shared" si="15"/>
        <v>106512.6</v>
      </c>
      <c r="H20" s="30">
        <f t="shared" si="16"/>
        <v>165828</v>
      </c>
      <c r="I20" s="30">
        <f t="shared" si="17"/>
        <v>365459.4</v>
      </c>
      <c r="J20" s="30"/>
      <c r="K20" s="146"/>
      <c r="L20" s="146"/>
      <c r="M20" s="146"/>
      <c r="N20" s="16">
        <f t="shared" ref="N20:N22" si="22">ROUND(15.7*G20/100000,7)</f>
        <v>16.722478200000001</v>
      </c>
      <c r="O20" s="16">
        <f t="shared" ref="O20:O22" si="23">ROUND(10.3*H20/100000,7)</f>
        <v>17.080283999999999</v>
      </c>
      <c r="P20" s="16">
        <f t="shared" ref="P20:P22" si="24">ROUND(5.5*I20/100000,7)</f>
        <v>20.100266999999999</v>
      </c>
      <c r="Q20" s="16">
        <f t="shared" ref="Q20:Q22" si="25">ROUND(SUM(N20:P20),7)</f>
        <v>53.903029199999999</v>
      </c>
      <c r="R20" s="30">
        <f t="shared" si="7"/>
        <v>41463.868615400002</v>
      </c>
      <c r="S20" s="30">
        <f t="shared" si="8"/>
        <v>53903.029199999997</v>
      </c>
      <c r="T20" s="30">
        <f t="shared" si="9"/>
        <v>47683.448907700003</v>
      </c>
      <c r="U20" s="16">
        <v>878.82973685741104</v>
      </c>
      <c r="V20" s="16">
        <f t="shared" si="10"/>
        <v>932.73276605741103</v>
      </c>
    </row>
    <row r="21" spans="1:22" x14ac:dyDescent="0.2">
      <c r="A21" s="6" t="s">
        <v>136</v>
      </c>
      <c r="B21" s="8">
        <v>1235400</v>
      </c>
      <c r="C21" s="9">
        <v>1143400</v>
      </c>
      <c r="D21" s="19">
        <v>27.5</v>
      </c>
      <c r="E21" s="19">
        <v>13.1</v>
      </c>
      <c r="F21" s="19">
        <v>59.4</v>
      </c>
      <c r="G21" s="30">
        <f t="shared" si="15"/>
        <v>314435</v>
      </c>
      <c r="H21" s="30">
        <f t="shared" si="16"/>
        <v>149785.4</v>
      </c>
      <c r="I21" s="30">
        <f t="shared" si="17"/>
        <v>679179.6</v>
      </c>
      <c r="J21" s="30">
        <v>39</v>
      </c>
      <c r="K21" s="147">
        <v>530</v>
      </c>
      <c r="L21" s="147"/>
      <c r="M21" s="147"/>
      <c r="N21" s="16">
        <f t="shared" si="22"/>
        <v>49.366295000000001</v>
      </c>
      <c r="O21" s="16">
        <f t="shared" si="23"/>
        <v>15.427896199999999</v>
      </c>
      <c r="P21" s="16">
        <f t="shared" si="24"/>
        <v>37.354877999999999</v>
      </c>
      <c r="Q21" s="16">
        <f t="shared" si="25"/>
        <v>102.1490692</v>
      </c>
      <c r="R21" s="30">
        <f t="shared" si="7"/>
        <v>78576.207076899998</v>
      </c>
      <c r="S21" s="30">
        <f t="shared" si="8"/>
        <v>102149.0692</v>
      </c>
      <c r="T21" s="30">
        <f t="shared" si="9"/>
        <v>90362.638138499999</v>
      </c>
      <c r="U21" s="16">
        <v>1157.0992826533579</v>
      </c>
      <c r="V21" s="16">
        <f t="shared" si="10"/>
        <v>1259.2483518533579</v>
      </c>
    </row>
    <row r="22" spans="1:22" x14ac:dyDescent="0.2">
      <c r="A22" s="6" t="s">
        <v>139</v>
      </c>
      <c r="B22" s="8">
        <v>260700</v>
      </c>
      <c r="C22" s="9">
        <v>209400</v>
      </c>
      <c r="D22" s="19">
        <v>6.3</v>
      </c>
      <c r="E22" s="19">
        <v>20.9</v>
      </c>
      <c r="F22" s="19">
        <v>72.8</v>
      </c>
      <c r="G22" s="30">
        <f t="shared" si="15"/>
        <v>13192.2</v>
      </c>
      <c r="H22" s="30">
        <f t="shared" si="16"/>
        <v>43764.6</v>
      </c>
      <c r="I22" s="30">
        <f t="shared" si="17"/>
        <v>152443.20000000001</v>
      </c>
      <c r="J22" s="30"/>
      <c r="K22" s="146"/>
      <c r="L22" s="146"/>
      <c r="M22" s="146"/>
      <c r="N22" s="16">
        <f t="shared" si="22"/>
        <v>2.0711754</v>
      </c>
      <c r="O22" s="16">
        <f t="shared" si="23"/>
        <v>4.5077537999999997</v>
      </c>
      <c r="P22" s="16">
        <f t="shared" si="24"/>
        <v>8.3843759999999996</v>
      </c>
      <c r="Q22" s="16">
        <f t="shared" si="25"/>
        <v>14.963305200000001</v>
      </c>
      <c r="R22" s="30">
        <f t="shared" si="7"/>
        <v>11510.2347692</v>
      </c>
      <c r="S22" s="30">
        <f t="shared" si="8"/>
        <v>14963.305200000001</v>
      </c>
      <c r="T22" s="30">
        <f t="shared" si="9"/>
        <v>13236.7699846</v>
      </c>
      <c r="U22" s="16">
        <v>244.17660918547062</v>
      </c>
      <c r="V22" s="16">
        <f t="shared" si="10"/>
        <v>259.1399143854706</v>
      </c>
    </row>
    <row r="23" spans="1:22" x14ac:dyDescent="0.2">
      <c r="A23" s="6" t="s">
        <v>166</v>
      </c>
      <c r="B23" s="8">
        <v>17659900</v>
      </c>
      <c r="C23" s="9">
        <v>15960500</v>
      </c>
      <c r="D23" s="19">
        <v>12.9</v>
      </c>
      <c r="E23" s="19">
        <v>30.2</v>
      </c>
      <c r="F23" s="19">
        <v>57</v>
      </c>
      <c r="G23" s="30">
        <f t="shared" si="15"/>
        <v>2058904.5</v>
      </c>
      <c r="H23" s="30">
        <f t="shared" si="16"/>
        <v>4820071</v>
      </c>
      <c r="I23" s="30">
        <f t="shared" si="17"/>
        <v>9097485</v>
      </c>
      <c r="J23" s="30">
        <v>446</v>
      </c>
      <c r="K23" s="147">
        <v>86936</v>
      </c>
      <c r="L23" s="147">
        <v>446</v>
      </c>
      <c r="M23" s="149">
        <v>85825</v>
      </c>
      <c r="N23" s="16"/>
      <c r="O23" s="16"/>
      <c r="P23" s="30"/>
      <c r="Q23" s="30">
        <f>J23</f>
        <v>446</v>
      </c>
      <c r="R23" s="30">
        <f t="shared" si="7"/>
        <v>343076.92307690001</v>
      </c>
      <c r="S23" s="30">
        <f t="shared" si="8"/>
        <v>446000</v>
      </c>
      <c r="T23" s="30">
        <f t="shared" si="9"/>
        <v>394538.46153849998</v>
      </c>
      <c r="U23" s="16">
        <v>16540.600308993067</v>
      </c>
      <c r="V23" s="16">
        <f t="shared" si="10"/>
        <v>16986.600308993067</v>
      </c>
    </row>
    <row r="24" spans="1:22" x14ac:dyDescent="0.2">
      <c r="A24" s="6" t="s">
        <v>171</v>
      </c>
      <c r="B24" s="8">
        <v>9964500</v>
      </c>
      <c r="C24" s="9">
        <v>9239400</v>
      </c>
      <c r="D24" s="19">
        <v>31.6</v>
      </c>
      <c r="E24" s="19">
        <v>21.1</v>
      </c>
      <c r="F24" s="19">
        <v>47.3</v>
      </c>
      <c r="G24" s="30">
        <f t="shared" si="15"/>
        <v>2919650.4</v>
      </c>
      <c r="H24" s="30">
        <f t="shared" si="16"/>
        <v>1949513.4</v>
      </c>
      <c r="I24" s="30">
        <f t="shared" si="17"/>
        <v>4370236.2</v>
      </c>
      <c r="J24" s="30">
        <v>377</v>
      </c>
      <c r="K24" s="147">
        <v>3767</v>
      </c>
      <c r="L24" s="147">
        <v>381</v>
      </c>
      <c r="M24" s="149">
        <v>3722</v>
      </c>
      <c r="N24" s="16"/>
      <c r="O24" s="16"/>
      <c r="P24" s="30"/>
      <c r="Q24" s="30">
        <f>L24</f>
        <v>381</v>
      </c>
      <c r="R24" s="30">
        <f t="shared" si="7"/>
        <v>293076.92307690001</v>
      </c>
      <c r="S24" s="30">
        <f t="shared" si="8"/>
        <v>381000</v>
      </c>
      <c r="T24" s="30">
        <f t="shared" si="9"/>
        <v>337038.46153849998</v>
      </c>
      <c r="U24" s="16">
        <v>9332.9413971178437</v>
      </c>
      <c r="V24" s="16">
        <f t="shared" si="10"/>
        <v>9713.9413971178437</v>
      </c>
    </row>
    <row r="25" spans="1:22" x14ac:dyDescent="0.2">
      <c r="A25" s="6" t="s">
        <v>172</v>
      </c>
      <c r="B25" s="8">
        <v>75439900</v>
      </c>
      <c r="C25" s="9">
        <v>69803600</v>
      </c>
      <c r="D25" s="19">
        <v>7.9</v>
      </c>
      <c r="E25" s="19">
        <v>27.7</v>
      </c>
      <c r="F25" s="19">
        <v>64.400000000000006</v>
      </c>
      <c r="G25" s="30">
        <f t="shared" si="15"/>
        <v>5514484.4000000004</v>
      </c>
      <c r="H25" s="30">
        <f t="shared" si="16"/>
        <v>19335597.199999999</v>
      </c>
      <c r="I25" s="30">
        <f t="shared" si="17"/>
        <v>44953518.399999999</v>
      </c>
      <c r="J25" s="30">
        <v>2004</v>
      </c>
      <c r="K25" s="147">
        <v>45718</v>
      </c>
      <c r="L25" s="147"/>
      <c r="M25" s="147"/>
      <c r="N25" s="16">
        <f t="shared" ref="N25:N26" si="26">ROUND(15.7*G25/100000,7)</f>
        <v>865.77405080000005</v>
      </c>
      <c r="O25" s="16">
        <f t="shared" ref="O25:O26" si="27">ROUND(10.3*H25/100000,7)</f>
        <v>1991.5665116</v>
      </c>
      <c r="P25" s="16">
        <f t="shared" ref="P25:P26" si="28">ROUND(5.5*I25/100000,7)</f>
        <v>2472.4435119999998</v>
      </c>
      <c r="Q25" s="16">
        <f t="shared" ref="Q25:Q26" si="29">ROUND(SUM(N25:P25),7)</f>
        <v>5329.7840743999996</v>
      </c>
      <c r="R25" s="30">
        <f t="shared" si="7"/>
        <v>4099833.9033845998</v>
      </c>
      <c r="S25" s="30">
        <f t="shared" si="8"/>
        <v>5329784.0744000003</v>
      </c>
      <c r="T25" s="30">
        <f t="shared" si="9"/>
        <v>4714808.9888923001</v>
      </c>
      <c r="U25" s="16">
        <v>70658.454082435695</v>
      </c>
      <c r="V25" s="16">
        <f t="shared" si="10"/>
        <v>75988.238156835694</v>
      </c>
    </row>
    <row r="26" spans="1:22" x14ac:dyDescent="0.2">
      <c r="A26" s="6" t="s">
        <v>184</v>
      </c>
      <c r="B26" s="8">
        <v>2965000</v>
      </c>
      <c r="C26" s="9">
        <v>2396200</v>
      </c>
      <c r="D26" s="19">
        <v>21.9</v>
      </c>
      <c r="E26" s="19">
        <v>19.5</v>
      </c>
      <c r="F26" s="19">
        <v>58.6</v>
      </c>
      <c r="G26" s="30">
        <f t="shared" si="15"/>
        <v>524767.80000000005</v>
      </c>
      <c r="H26" s="30">
        <f t="shared" si="16"/>
        <v>467259</v>
      </c>
      <c r="I26" s="30">
        <f t="shared" si="17"/>
        <v>1404173.2</v>
      </c>
      <c r="J26" s="30"/>
      <c r="K26" s="146"/>
      <c r="L26" s="146"/>
      <c r="M26" s="146"/>
      <c r="N26" s="16">
        <f t="shared" si="26"/>
        <v>82.388544600000003</v>
      </c>
      <c r="O26" s="16">
        <f t="shared" si="27"/>
        <v>48.127676999999998</v>
      </c>
      <c r="P26" s="16">
        <f t="shared" si="28"/>
        <v>77.229526000000007</v>
      </c>
      <c r="Q26" s="16">
        <f t="shared" si="29"/>
        <v>207.74574759999999</v>
      </c>
      <c r="R26" s="30">
        <f t="shared" si="7"/>
        <v>159804.42123080001</v>
      </c>
      <c r="S26" s="30">
        <f t="shared" si="8"/>
        <v>207745.7476</v>
      </c>
      <c r="T26" s="30">
        <f t="shared" si="9"/>
        <v>183775.08441539999</v>
      </c>
      <c r="U26" s="16">
        <v>2777.0757431335651</v>
      </c>
      <c r="V26" s="16">
        <f t="shared" si="10"/>
        <v>2984.821490733565</v>
      </c>
    </row>
    <row r="27" spans="1:22" x14ac:dyDescent="0.2">
      <c r="A27" s="6" t="s">
        <v>188</v>
      </c>
      <c r="B27" s="8">
        <v>2706500</v>
      </c>
      <c r="C27" s="9">
        <v>2317500</v>
      </c>
      <c r="D27" s="19">
        <v>3.5</v>
      </c>
      <c r="E27" s="19">
        <v>27</v>
      </c>
      <c r="F27" s="19">
        <v>69.400000000000006</v>
      </c>
      <c r="G27" s="30">
        <f t="shared" si="15"/>
        <v>81112.5</v>
      </c>
      <c r="H27" s="30">
        <f t="shared" si="16"/>
        <v>625725</v>
      </c>
      <c r="I27" s="30">
        <f t="shared" si="17"/>
        <v>1608345</v>
      </c>
      <c r="J27" s="30">
        <v>48</v>
      </c>
      <c r="K27" s="147">
        <v>9124</v>
      </c>
      <c r="L27" s="147">
        <v>48</v>
      </c>
      <c r="M27" s="149">
        <v>9126</v>
      </c>
      <c r="N27" s="16"/>
      <c r="O27" s="16"/>
      <c r="P27" s="30"/>
      <c r="Q27" s="30">
        <f>J27</f>
        <v>48</v>
      </c>
      <c r="R27" s="30">
        <f t="shared" si="7"/>
        <v>36923.076923100001</v>
      </c>
      <c r="S27" s="30">
        <f t="shared" si="8"/>
        <v>48000</v>
      </c>
      <c r="T27" s="30">
        <f t="shared" si="9"/>
        <v>42461.538461600001</v>
      </c>
      <c r="U27" s="16">
        <v>2534.9596960509252</v>
      </c>
      <c r="V27" s="16">
        <f t="shared" si="10"/>
        <v>2582.9596960509252</v>
      </c>
    </row>
    <row r="28" spans="1:22" x14ac:dyDescent="0.2">
      <c r="A28" s="6" t="s">
        <v>202</v>
      </c>
      <c r="B28" s="9">
        <v>3211494</v>
      </c>
      <c r="C28" s="9">
        <v>1856500</v>
      </c>
      <c r="D28" s="19">
        <v>47.9</v>
      </c>
      <c r="E28" s="19">
        <v>10.9</v>
      </c>
      <c r="F28" s="19">
        <v>41.2</v>
      </c>
      <c r="G28" s="30">
        <f t="shared" si="15"/>
        <v>889263.5</v>
      </c>
      <c r="H28" s="30">
        <f t="shared" si="16"/>
        <v>202358.5</v>
      </c>
      <c r="I28" s="30">
        <f t="shared" si="17"/>
        <v>764878</v>
      </c>
      <c r="J28" s="30"/>
      <c r="K28" s="146"/>
      <c r="L28" s="146"/>
      <c r="M28" s="146"/>
      <c r="N28" s="16">
        <f t="shared" ref="N28:N33" si="30">ROUND(15.7*G28/100000,7)</f>
        <v>139.61436950000001</v>
      </c>
      <c r="O28" s="16">
        <f t="shared" ref="O28:O33" si="31">ROUND(10.3*H28/100000,7)</f>
        <v>20.8429255</v>
      </c>
      <c r="P28" s="16">
        <f t="shared" ref="P28:P33" si="32">ROUND(5.5*I28/100000,7)</f>
        <v>42.068289999999998</v>
      </c>
      <c r="Q28" s="16">
        <f t="shared" ref="Q28:Q32" si="33">ROUND(SUM(N28:P28),7)</f>
        <v>202.52558500000001</v>
      </c>
      <c r="R28" s="30">
        <f t="shared" si="7"/>
        <v>155788.91153849999</v>
      </c>
      <c r="S28" s="30">
        <f t="shared" si="8"/>
        <v>202525.58499999999</v>
      </c>
      <c r="T28" s="30">
        <f t="shared" si="9"/>
        <v>179157.24826930001</v>
      </c>
      <c r="U28" s="16">
        <v>3007.9467408495734</v>
      </c>
      <c r="V28" s="16">
        <f t="shared" si="10"/>
        <v>3210.4723258495733</v>
      </c>
    </row>
    <row r="29" spans="1:22" x14ac:dyDescent="0.2">
      <c r="A29" s="6" t="s">
        <v>211</v>
      </c>
      <c r="B29" s="8">
        <v>25288300</v>
      </c>
      <c r="C29" s="8">
        <v>22592700</v>
      </c>
      <c r="D29" s="19">
        <v>25.5</v>
      </c>
      <c r="E29" s="19">
        <v>26.2</v>
      </c>
      <c r="F29" s="19">
        <v>48.4</v>
      </c>
      <c r="G29" s="30">
        <f t="shared" si="15"/>
        <v>5761138.5</v>
      </c>
      <c r="H29" s="30">
        <f t="shared" si="16"/>
        <v>5919287.4000000004</v>
      </c>
      <c r="I29" s="30">
        <f t="shared" si="17"/>
        <v>10934866.800000001</v>
      </c>
      <c r="J29" s="30">
        <v>1454</v>
      </c>
      <c r="K29" s="147">
        <v>2085</v>
      </c>
      <c r="L29" s="147"/>
      <c r="M29" s="147"/>
      <c r="N29" s="16">
        <f t="shared" si="30"/>
        <v>904.49874450000004</v>
      </c>
      <c r="O29" s="16">
        <f t="shared" si="31"/>
        <v>609.68660220000004</v>
      </c>
      <c r="P29" s="16">
        <f t="shared" si="32"/>
        <v>601.41767400000003</v>
      </c>
      <c r="Q29" s="16">
        <f t="shared" si="33"/>
        <v>2115.6030206999999</v>
      </c>
      <c r="R29" s="30">
        <f t="shared" si="7"/>
        <v>1627386.939</v>
      </c>
      <c r="S29" s="30">
        <f t="shared" si="8"/>
        <v>2115603.0207000002</v>
      </c>
      <c r="T29" s="30">
        <f t="shared" si="9"/>
        <v>1871494.97985</v>
      </c>
      <c r="U29" s="16">
        <v>23685.505738645708</v>
      </c>
      <c r="V29" s="16">
        <f t="shared" si="10"/>
        <v>25801.108759345709</v>
      </c>
    </row>
    <row r="30" spans="1:22" x14ac:dyDescent="0.2">
      <c r="A30" s="6" t="s">
        <v>212</v>
      </c>
      <c r="B30" s="7">
        <v>2162347</v>
      </c>
      <c r="C30" s="7"/>
      <c r="D30" s="19">
        <v>48.2</v>
      </c>
      <c r="E30" s="19">
        <v>14</v>
      </c>
      <c r="F30" s="19">
        <v>37.799999999999997</v>
      </c>
      <c r="G30" s="30">
        <f>ROUND(D30/100*B30,2)</f>
        <v>1042251.25</v>
      </c>
      <c r="H30" s="30">
        <f>ROUND(E30/100*B30,2)</f>
        <v>302728.58</v>
      </c>
      <c r="I30" s="30">
        <f>ROUND(F30/100*B30,2)</f>
        <v>817367.17</v>
      </c>
      <c r="J30" s="16"/>
      <c r="K30" s="131"/>
      <c r="L30" s="131"/>
      <c r="M30" s="146"/>
      <c r="N30" s="16">
        <f t="shared" si="30"/>
        <v>163.6334463</v>
      </c>
      <c r="O30" s="16">
        <f t="shared" si="31"/>
        <v>31.1810437</v>
      </c>
      <c r="P30" s="16">
        <f t="shared" si="32"/>
        <v>44.955194400000003</v>
      </c>
      <c r="Q30" s="16">
        <f t="shared" si="33"/>
        <v>239.76968439999999</v>
      </c>
      <c r="R30" s="30">
        <f t="shared" si="7"/>
        <v>184438.2187692</v>
      </c>
      <c r="S30" s="30">
        <f t="shared" si="8"/>
        <v>239769.6844</v>
      </c>
      <c r="T30" s="30">
        <f t="shared" si="9"/>
        <v>212103.9515846</v>
      </c>
      <c r="U30" s="16">
        <v>2025.2955824410233</v>
      </c>
      <c r="V30" s="16">
        <f t="shared" si="10"/>
        <v>2265.0652668410235</v>
      </c>
    </row>
    <row r="31" spans="1:22" x14ac:dyDescent="0.2">
      <c r="A31" s="6" t="s">
        <v>216</v>
      </c>
      <c r="B31" s="8">
        <v>22051600</v>
      </c>
      <c r="C31" s="9">
        <v>20266000</v>
      </c>
      <c r="D31" s="19">
        <v>20.3</v>
      </c>
      <c r="E31" s="19">
        <v>25.7</v>
      </c>
      <c r="F31" s="19">
        <v>54</v>
      </c>
      <c r="G31" s="30">
        <f t="shared" ref="G31:G32" si="34">ROUND(D31/100*C31,2)</f>
        <v>4113998</v>
      </c>
      <c r="H31" s="30">
        <f t="shared" ref="H31:H32" si="35">ROUND(E31/100*C31,2)</f>
        <v>5208362</v>
      </c>
      <c r="I31" s="30">
        <f t="shared" ref="I31:I32" si="36">ROUND(F31/100*C31,2)</f>
        <v>10943640</v>
      </c>
      <c r="J31" s="16">
        <v>580</v>
      </c>
      <c r="K31" s="132">
        <v>11654</v>
      </c>
      <c r="L31" s="132"/>
      <c r="M31" s="147"/>
      <c r="N31" s="16">
        <f t="shared" si="30"/>
        <v>645.89768600000002</v>
      </c>
      <c r="O31" s="16">
        <f t="shared" si="31"/>
        <v>536.46128599999997</v>
      </c>
      <c r="P31" s="16">
        <f t="shared" si="32"/>
        <v>601.90020000000004</v>
      </c>
      <c r="Q31" s="16">
        <f t="shared" si="33"/>
        <v>1784.259172</v>
      </c>
      <c r="R31" s="30">
        <f t="shared" si="7"/>
        <v>1372507.0553846001</v>
      </c>
      <c r="S31" s="30">
        <f t="shared" si="8"/>
        <v>1784259.172</v>
      </c>
      <c r="T31" s="30">
        <f t="shared" si="9"/>
        <v>1578383.1136922999</v>
      </c>
      <c r="U31" s="16">
        <v>20653.95057581252</v>
      </c>
      <c r="V31" s="16">
        <f t="shared" si="10"/>
        <v>22438.209747812522</v>
      </c>
    </row>
    <row r="32" spans="1:22" x14ac:dyDescent="0.2">
      <c r="A32" s="6" t="s">
        <v>221</v>
      </c>
      <c r="B32" s="8">
        <v>16000000</v>
      </c>
      <c r="C32" s="7">
        <v>10886600</v>
      </c>
      <c r="D32" s="19">
        <v>25.9</v>
      </c>
      <c r="E32" s="19">
        <v>13.2</v>
      </c>
      <c r="F32" s="19">
        <v>60.9</v>
      </c>
      <c r="G32" s="30">
        <f t="shared" si="34"/>
        <v>2819629.4</v>
      </c>
      <c r="H32" s="30">
        <f t="shared" si="35"/>
        <v>1437031.2</v>
      </c>
      <c r="I32" s="30">
        <f t="shared" si="36"/>
        <v>6629939.4000000004</v>
      </c>
      <c r="J32" s="16"/>
      <c r="K32" s="131"/>
      <c r="L32" s="131"/>
      <c r="M32" s="146"/>
      <c r="N32" s="16">
        <f t="shared" si="30"/>
        <v>442.68181579999998</v>
      </c>
      <c r="O32" s="16">
        <f t="shared" si="31"/>
        <v>148.01421360000001</v>
      </c>
      <c r="P32" s="16">
        <f t="shared" si="32"/>
        <v>364.64666699999998</v>
      </c>
      <c r="Q32" s="16">
        <f t="shared" si="33"/>
        <v>955.34269640000002</v>
      </c>
      <c r="R32" s="30">
        <f t="shared" si="7"/>
        <v>734878.99723079999</v>
      </c>
      <c r="S32" s="30">
        <f t="shared" si="8"/>
        <v>955342.69640000002</v>
      </c>
      <c r="T32" s="30">
        <f t="shared" si="9"/>
        <v>845110.84681539994</v>
      </c>
      <c r="U32" s="16">
        <v>14985.906202407095</v>
      </c>
      <c r="V32" s="16">
        <f t="shared" si="10"/>
        <v>15941.248898807095</v>
      </c>
    </row>
    <row r="33" spans="1:22" s="5" customFormat="1" x14ac:dyDescent="0.2">
      <c r="A33" s="32" t="s">
        <v>231</v>
      </c>
      <c r="B33" s="31">
        <f>SUM(B4:B32)</f>
        <v>224441282</v>
      </c>
      <c r="C33" s="31">
        <f>SUM(C4:C32)</f>
        <v>197595200</v>
      </c>
      <c r="D33" s="32"/>
      <c r="E33" s="32"/>
      <c r="F33" s="32"/>
      <c r="G33" s="33">
        <f>ROUND(SUM(G4:G32),2)</f>
        <v>34093977.649999999</v>
      </c>
      <c r="H33" s="33">
        <f>ROUND(SUM(H4:H32),2)</f>
        <v>50749575.780000001</v>
      </c>
      <c r="I33" s="33">
        <f>ROUND(SUM(I4:I32),2)</f>
        <v>114962769.77</v>
      </c>
      <c r="J33" s="31">
        <f>SUM(J5:J32)</f>
        <v>5893</v>
      </c>
      <c r="K33" s="31">
        <f>SUM(K5:K32)</f>
        <v>257348</v>
      </c>
      <c r="L33" s="31"/>
      <c r="M33" s="33"/>
      <c r="N33" s="31">
        <f t="shared" si="30"/>
        <v>5352.7544911000005</v>
      </c>
      <c r="O33" s="31">
        <f t="shared" si="31"/>
        <v>5227.2063053000002</v>
      </c>
      <c r="P33" s="31">
        <f t="shared" si="32"/>
        <v>6322.9523374</v>
      </c>
      <c r="Q33" s="31">
        <f>ROUND(SUM(Q4:Q32),7)</f>
        <v>14608.759177800001</v>
      </c>
      <c r="R33" s="33">
        <f>ROUND(SUM(R4:R32),7)</f>
        <v>11237507.059846099</v>
      </c>
      <c r="S33" s="33">
        <f>ROUND(SUM(S4:S32),7)</f>
        <v>14608759.1778</v>
      </c>
      <c r="T33" s="33">
        <f>ROUND(SUM(T4:T32),7)</f>
        <v>12923133.1188235</v>
      </c>
      <c r="U33" s="31">
        <v>210216</v>
      </c>
      <c r="V33" s="31">
        <f t="shared" si="10"/>
        <v>224824.75917780001</v>
      </c>
    </row>
    <row r="34" spans="1:22" x14ac:dyDescent="0.2">
      <c r="G34" s="20"/>
      <c r="H34" s="20"/>
      <c r="I34" s="20"/>
    </row>
    <row r="35" spans="1:22" x14ac:dyDescent="0.2">
      <c r="G35" s="20"/>
      <c r="H35" s="20"/>
      <c r="I35" s="20"/>
    </row>
    <row r="36" spans="1:22" x14ac:dyDescent="0.2">
      <c r="G36" s="20"/>
      <c r="H36" s="20"/>
      <c r="I36" s="20"/>
    </row>
    <row r="37" spans="1:22" x14ac:dyDescent="0.2">
      <c r="G37" s="20"/>
      <c r="H37" s="20"/>
      <c r="I37" s="20"/>
    </row>
    <row r="38" spans="1:22" x14ac:dyDescent="0.2">
      <c r="G38" s="20"/>
      <c r="H38" s="20"/>
      <c r="I38" s="20"/>
    </row>
    <row r="39" spans="1:22" x14ac:dyDescent="0.2">
      <c r="G39" s="20"/>
      <c r="H39" s="20"/>
      <c r="I39" s="20"/>
    </row>
    <row r="40" spans="1:22" x14ac:dyDescent="0.2">
      <c r="G40" s="20"/>
      <c r="H40" s="20"/>
      <c r="I40" s="20"/>
    </row>
    <row r="41" spans="1:22" x14ac:dyDescent="0.2">
      <c r="D41" s="1"/>
      <c r="E41" s="1"/>
      <c r="F41" s="1"/>
      <c r="G41" s="20"/>
      <c r="H41" s="20"/>
      <c r="I41" s="20"/>
    </row>
    <row r="42" spans="1:22" x14ac:dyDescent="0.2">
      <c r="D42" s="1"/>
      <c r="E42" s="1"/>
      <c r="F42" s="1"/>
      <c r="G42" s="20"/>
      <c r="H42" s="20"/>
      <c r="I42" s="20"/>
    </row>
    <row r="43" spans="1:22" x14ac:dyDescent="0.2">
      <c r="D43" s="1"/>
      <c r="E43" s="1"/>
      <c r="F43" s="1"/>
      <c r="G43" s="20"/>
      <c r="H43" s="20"/>
      <c r="I43" s="20"/>
    </row>
    <row r="44" spans="1:22" x14ac:dyDescent="0.2">
      <c r="D44" s="1"/>
      <c r="E44" s="1"/>
      <c r="F44" s="1"/>
      <c r="G44" s="20"/>
      <c r="H44" s="20"/>
      <c r="I44" s="20"/>
    </row>
    <row r="45" spans="1:22" x14ac:dyDescent="0.2">
      <c r="D45" s="1"/>
      <c r="E45" s="1"/>
      <c r="F45" s="1"/>
      <c r="G45" s="20"/>
      <c r="H45" s="20"/>
      <c r="I45" s="20"/>
    </row>
    <row r="46" spans="1:22" x14ac:dyDescent="0.2">
      <c r="D46" s="1"/>
      <c r="E46" s="1"/>
      <c r="F46" s="1"/>
      <c r="G46" s="20"/>
      <c r="H46" s="20"/>
      <c r="I46" s="20"/>
    </row>
    <row r="47" spans="1:22" x14ac:dyDescent="0.2">
      <c r="D47" s="1"/>
      <c r="E47" s="1"/>
      <c r="F47" s="1"/>
      <c r="G47" s="20"/>
      <c r="H47" s="20"/>
      <c r="I47" s="20"/>
    </row>
    <row r="48" spans="1:22" x14ac:dyDescent="0.2">
      <c r="D48" s="1"/>
      <c r="E48" s="1"/>
      <c r="F48" s="1"/>
      <c r="G48" s="20"/>
      <c r="H48" s="20"/>
      <c r="I48" s="20"/>
    </row>
    <row r="49" spans="4:9" x14ac:dyDescent="0.2">
      <c r="D49" s="1"/>
      <c r="E49" s="1"/>
      <c r="F49" s="1"/>
      <c r="G49" s="20"/>
      <c r="H49" s="20"/>
      <c r="I49" s="20"/>
    </row>
    <row r="50" spans="4:9" x14ac:dyDescent="0.2">
      <c r="D50" s="1"/>
      <c r="E50" s="1"/>
      <c r="F50" s="1"/>
      <c r="G50" s="20"/>
      <c r="H50" s="20"/>
      <c r="I50" s="20"/>
    </row>
    <row r="51" spans="4:9" x14ac:dyDescent="0.2">
      <c r="D51" s="1"/>
      <c r="E51" s="1"/>
      <c r="F51" s="1"/>
      <c r="G51" s="20"/>
      <c r="H51" s="20"/>
      <c r="I51" s="20"/>
    </row>
    <row r="52" spans="4:9" x14ac:dyDescent="0.2">
      <c r="D52" s="1"/>
      <c r="E52" s="1"/>
      <c r="F52" s="1"/>
      <c r="G52" s="20"/>
      <c r="H52" s="20"/>
      <c r="I52" s="20"/>
    </row>
    <row r="53" spans="4:9" x14ac:dyDescent="0.2">
      <c r="D53" s="1"/>
      <c r="E53" s="1"/>
      <c r="F53" s="1"/>
      <c r="G53" s="20"/>
      <c r="H53" s="20"/>
      <c r="I53" s="20"/>
    </row>
    <row r="54" spans="4:9" x14ac:dyDescent="0.2">
      <c r="D54" s="1"/>
      <c r="E54" s="1"/>
      <c r="F54" s="1"/>
      <c r="G54" s="20"/>
      <c r="H54" s="20"/>
      <c r="I54" s="20"/>
    </row>
    <row r="55" spans="4:9" x14ac:dyDescent="0.2">
      <c r="D55" s="1"/>
      <c r="E55" s="1"/>
      <c r="F55" s="1"/>
      <c r="G55" s="20"/>
      <c r="H55" s="20"/>
      <c r="I55" s="20"/>
    </row>
    <row r="56" spans="4:9" x14ac:dyDescent="0.2">
      <c r="D56" s="1"/>
      <c r="E56" s="1"/>
      <c r="F56" s="1"/>
      <c r="G56" s="20"/>
      <c r="H56" s="20"/>
      <c r="I56" s="20"/>
    </row>
    <row r="57" spans="4:9" x14ac:dyDescent="0.2">
      <c r="D57" s="1"/>
      <c r="E57" s="1"/>
      <c r="F57" s="1"/>
      <c r="G57" s="20"/>
      <c r="H57" s="20"/>
      <c r="I57" s="20"/>
    </row>
    <row r="58" spans="4:9" x14ac:dyDescent="0.2">
      <c r="D58" s="1"/>
      <c r="E58" s="1"/>
      <c r="F58" s="1"/>
      <c r="G58" s="20"/>
      <c r="H58" s="20"/>
      <c r="I58" s="20"/>
    </row>
    <row r="59" spans="4:9" x14ac:dyDescent="0.2">
      <c r="D59" s="1"/>
      <c r="E59" s="1"/>
      <c r="F59" s="1"/>
      <c r="G59" s="20"/>
      <c r="H59" s="20"/>
      <c r="I59" s="20"/>
    </row>
    <row r="60" spans="4:9" x14ac:dyDescent="0.2">
      <c r="D60" s="1"/>
      <c r="E60" s="1"/>
      <c r="F60" s="1"/>
      <c r="G60" s="20"/>
      <c r="H60" s="20"/>
      <c r="I60" s="20"/>
    </row>
    <row r="61" spans="4:9" x14ac:dyDescent="0.2">
      <c r="D61" s="1"/>
      <c r="E61" s="1"/>
      <c r="F61" s="1"/>
      <c r="G61" s="20"/>
      <c r="H61" s="20"/>
      <c r="I61" s="20"/>
    </row>
    <row r="62" spans="4:9" x14ac:dyDescent="0.2">
      <c r="D62" s="1"/>
      <c r="E62" s="1"/>
      <c r="F62" s="1"/>
      <c r="G62" s="20"/>
      <c r="H62" s="20"/>
      <c r="I62" s="20"/>
    </row>
    <row r="63" spans="4:9" x14ac:dyDescent="0.2">
      <c r="D63" s="1"/>
      <c r="E63" s="1"/>
      <c r="F63" s="1"/>
      <c r="G63" s="20"/>
      <c r="H63" s="20"/>
      <c r="I63" s="20"/>
    </row>
    <row r="64" spans="4:9" x14ac:dyDescent="0.2">
      <c r="D64" s="1"/>
      <c r="E64" s="1"/>
      <c r="F64" s="1"/>
      <c r="G64" s="20"/>
      <c r="H64" s="20"/>
      <c r="I64" s="20"/>
    </row>
    <row r="65" spans="4:9" x14ac:dyDescent="0.2">
      <c r="D65" s="1"/>
      <c r="E65" s="1"/>
      <c r="F65" s="1"/>
      <c r="G65" s="20"/>
      <c r="H65" s="20"/>
      <c r="I65" s="20"/>
    </row>
    <row r="66" spans="4:9" x14ac:dyDescent="0.2">
      <c r="D66" s="1"/>
      <c r="E66" s="1"/>
      <c r="F66" s="1"/>
      <c r="G66" s="20"/>
      <c r="H66" s="20"/>
      <c r="I66" s="20"/>
    </row>
    <row r="67" spans="4:9" x14ac:dyDescent="0.2">
      <c r="D67" s="1"/>
      <c r="E67" s="1"/>
      <c r="F67" s="1"/>
      <c r="G67" s="20"/>
      <c r="H67" s="20"/>
      <c r="I67" s="20"/>
    </row>
    <row r="68" spans="4:9" x14ac:dyDescent="0.2">
      <c r="D68" s="1"/>
      <c r="E68" s="1"/>
      <c r="F68" s="1"/>
      <c r="G68" s="20"/>
      <c r="H68" s="20"/>
      <c r="I68" s="20"/>
    </row>
    <row r="69" spans="4:9" x14ac:dyDescent="0.2">
      <c r="D69" s="1"/>
      <c r="E69" s="1"/>
      <c r="F69" s="1"/>
      <c r="G69" s="20"/>
      <c r="H69" s="20"/>
      <c r="I69" s="20"/>
    </row>
    <row r="70" spans="4:9" x14ac:dyDescent="0.2">
      <c r="D70" s="1"/>
      <c r="E70" s="1"/>
      <c r="F70" s="1"/>
      <c r="G70" s="20"/>
      <c r="H70" s="20"/>
      <c r="I70" s="20"/>
    </row>
    <row r="71" spans="4:9" x14ac:dyDescent="0.2">
      <c r="D71" s="1"/>
      <c r="E71" s="1"/>
      <c r="F71" s="1"/>
      <c r="G71" s="20"/>
      <c r="H71" s="20"/>
      <c r="I71" s="20"/>
    </row>
    <row r="72" spans="4:9" x14ac:dyDescent="0.2">
      <c r="D72" s="1"/>
      <c r="E72" s="1"/>
      <c r="F72" s="1"/>
      <c r="G72" s="20"/>
      <c r="H72" s="20"/>
      <c r="I72" s="20"/>
    </row>
    <row r="73" spans="4:9" x14ac:dyDescent="0.2">
      <c r="D73" s="1"/>
      <c r="E73" s="1"/>
      <c r="F73" s="1"/>
      <c r="G73" s="20"/>
      <c r="H73" s="20"/>
      <c r="I73" s="20"/>
    </row>
    <row r="74" spans="4:9" x14ac:dyDescent="0.2">
      <c r="D74" s="1"/>
      <c r="E74" s="1"/>
      <c r="F74" s="1"/>
      <c r="G74" s="20"/>
      <c r="H74" s="20"/>
      <c r="I74" s="20"/>
    </row>
    <row r="75" spans="4:9" x14ac:dyDescent="0.2">
      <c r="D75" s="1"/>
      <c r="E75" s="1"/>
      <c r="F75" s="1"/>
      <c r="G75" s="20"/>
      <c r="H75" s="20"/>
      <c r="I75" s="20"/>
    </row>
    <row r="76" spans="4:9" x14ac:dyDescent="0.2">
      <c r="D76" s="1"/>
      <c r="E76" s="1"/>
      <c r="F76" s="1"/>
      <c r="G76" s="20"/>
      <c r="H76" s="20"/>
      <c r="I76" s="20"/>
    </row>
    <row r="77" spans="4:9" x14ac:dyDescent="0.2">
      <c r="D77" s="1"/>
      <c r="E77" s="1"/>
      <c r="F77" s="1"/>
      <c r="G77" s="20"/>
      <c r="H77" s="20"/>
      <c r="I77" s="20"/>
    </row>
    <row r="78" spans="4:9" x14ac:dyDescent="0.2">
      <c r="D78" s="1"/>
      <c r="E78" s="1"/>
      <c r="F78" s="1"/>
      <c r="G78" s="20"/>
      <c r="H78" s="20"/>
      <c r="I78" s="20"/>
    </row>
    <row r="79" spans="4:9" x14ac:dyDescent="0.2">
      <c r="D79" s="1"/>
      <c r="E79" s="1"/>
      <c r="F79" s="1"/>
      <c r="G79" s="20"/>
      <c r="H79" s="20"/>
      <c r="I79" s="20"/>
    </row>
    <row r="80" spans="4:9" x14ac:dyDescent="0.2">
      <c r="D80" s="1"/>
      <c r="E80" s="1"/>
      <c r="F80" s="1"/>
      <c r="G80" s="20"/>
      <c r="H80" s="20"/>
      <c r="I80" s="20"/>
    </row>
    <row r="81" spans="4:9" x14ac:dyDescent="0.2">
      <c r="D81" s="1"/>
      <c r="E81" s="1"/>
      <c r="F81" s="1"/>
      <c r="G81" s="20"/>
      <c r="H81" s="20"/>
      <c r="I81" s="20"/>
    </row>
    <row r="82" spans="4:9" x14ac:dyDescent="0.2">
      <c r="D82" s="1"/>
      <c r="E82" s="1"/>
      <c r="F82" s="1"/>
      <c r="G82" s="20"/>
      <c r="H82" s="20"/>
      <c r="I82" s="20"/>
    </row>
    <row r="83" spans="4:9" x14ac:dyDescent="0.2">
      <c r="D83" s="1"/>
      <c r="E83" s="1"/>
      <c r="F83" s="1"/>
      <c r="G83" s="20"/>
      <c r="H83" s="20"/>
      <c r="I83" s="20"/>
    </row>
    <row r="84" spans="4:9" x14ac:dyDescent="0.2">
      <c r="D84" s="1"/>
      <c r="E84" s="1"/>
      <c r="F84" s="1"/>
      <c r="G84" s="20"/>
      <c r="H84" s="20"/>
      <c r="I84" s="20"/>
    </row>
    <row r="85" spans="4:9" x14ac:dyDescent="0.2">
      <c r="D85" s="1"/>
      <c r="E85" s="1"/>
      <c r="F85" s="1"/>
      <c r="G85" s="20"/>
      <c r="H85" s="20"/>
      <c r="I85" s="20"/>
    </row>
    <row r="86" spans="4:9" x14ac:dyDescent="0.2">
      <c r="D86" s="1"/>
      <c r="E86" s="1"/>
      <c r="F86" s="1"/>
      <c r="G86" s="20"/>
      <c r="H86" s="20"/>
      <c r="I86" s="20"/>
    </row>
    <row r="87" spans="4:9" x14ac:dyDescent="0.2">
      <c r="D87" s="1"/>
      <c r="E87" s="1"/>
      <c r="F87" s="1"/>
      <c r="G87" s="20"/>
      <c r="H87" s="20"/>
      <c r="I87" s="20"/>
    </row>
    <row r="88" spans="4:9" x14ac:dyDescent="0.2">
      <c r="D88" s="1"/>
      <c r="E88" s="1"/>
      <c r="F88" s="1"/>
      <c r="G88" s="20"/>
      <c r="H88" s="20"/>
      <c r="I88" s="20"/>
    </row>
    <row r="89" spans="4:9" x14ac:dyDescent="0.2">
      <c r="D89" s="1"/>
      <c r="E89" s="1"/>
      <c r="F89" s="1"/>
      <c r="G89" s="20"/>
      <c r="H89" s="20"/>
      <c r="I89" s="20"/>
    </row>
    <row r="90" spans="4:9" x14ac:dyDescent="0.2">
      <c r="D90" s="1"/>
      <c r="E90" s="1"/>
      <c r="F90" s="1"/>
      <c r="G90" s="20"/>
      <c r="H90" s="20"/>
      <c r="I90" s="20"/>
    </row>
    <row r="91" spans="4:9" x14ac:dyDescent="0.2">
      <c r="D91" s="1"/>
      <c r="E91" s="1"/>
      <c r="F91" s="1"/>
      <c r="G91" s="20"/>
      <c r="H91" s="20"/>
      <c r="I91" s="20"/>
    </row>
    <row r="92" spans="4:9" x14ac:dyDescent="0.2">
      <c r="D92" s="1"/>
      <c r="E92" s="1"/>
      <c r="F92" s="1"/>
      <c r="G92" s="20"/>
      <c r="H92" s="20"/>
      <c r="I92" s="20"/>
    </row>
    <row r="93" spans="4:9" x14ac:dyDescent="0.2">
      <c r="D93" s="1"/>
      <c r="E93" s="1"/>
      <c r="F93" s="1"/>
      <c r="G93" s="20"/>
      <c r="H93" s="20"/>
      <c r="I93" s="20"/>
    </row>
    <row r="94" spans="4:9" x14ac:dyDescent="0.2">
      <c r="D94" s="1"/>
      <c r="E94" s="1"/>
      <c r="F94" s="1"/>
      <c r="G94" s="20"/>
      <c r="H94" s="20"/>
      <c r="I94" s="20"/>
    </row>
    <row r="95" spans="4:9" x14ac:dyDescent="0.2">
      <c r="D95" s="1"/>
      <c r="E95" s="1"/>
      <c r="F95" s="1"/>
      <c r="G95" s="20"/>
      <c r="H95" s="20"/>
      <c r="I95" s="20"/>
    </row>
    <row r="96" spans="4:9" x14ac:dyDescent="0.2">
      <c r="D96" s="1"/>
      <c r="E96" s="1"/>
      <c r="F96" s="1"/>
      <c r="G96" s="20"/>
      <c r="H96" s="20"/>
      <c r="I96" s="20"/>
    </row>
    <row r="97" spans="4:9" x14ac:dyDescent="0.2">
      <c r="D97" s="1"/>
      <c r="E97" s="1"/>
      <c r="F97" s="1"/>
      <c r="G97" s="20"/>
      <c r="H97" s="20"/>
      <c r="I97" s="20"/>
    </row>
    <row r="98" spans="4:9" x14ac:dyDescent="0.2">
      <c r="D98" s="1"/>
      <c r="E98" s="1"/>
      <c r="F98" s="1"/>
      <c r="G98" s="20"/>
      <c r="H98" s="20"/>
      <c r="I98" s="20"/>
    </row>
    <row r="99" spans="4:9" x14ac:dyDescent="0.2">
      <c r="D99" s="1"/>
      <c r="E99" s="1"/>
      <c r="F99" s="1"/>
      <c r="G99" s="20"/>
      <c r="H99" s="20"/>
      <c r="I99" s="20"/>
    </row>
    <row r="100" spans="4:9" x14ac:dyDescent="0.2">
      <c r="D100" s="1"/>
      <c r="E100" s="1"/>
      <c r="F100" s="1"/>
      <c r="G100" s="20"/>
      <c r="H100" s="20"/>
      <c r="I100" s="20"/>
    </row>
    <row r="101" spans="4:9" x14ac:dyDescent="0.2">
      <c r="D101" s="1"/>
      <c r="E101" s="1"/>
      <c r="F101" s="1"/>
      <c r="G101" s="20"/>
      <c r="H101" s="20"/>
      <c r="I101" s="20"/>
    </row>
    <row r="102" spans="4:9" x14ac:dyDescent="0.2">
      <c r="D102" s="1"/>
      <c r="E102" s="1"/>
      <c r="F102" s="1"/>
      <c r="G102" s="20"/>
      <c r="H102" s="20"/>
      <c r="I102" s="20"/>
    </row>
    <row r="103" spans="4:9" x14ac:dyDescent="0.2">
      <c r="D103" s="1"/>
      <c r="E103" s="1"/>
      <c r="F103" s="1"/>
      <c r="G103" s="20"/>
      <c r="H103" s="20"/>
      <c r="I103" s="20"/>
    </row>
    <row r="104" spans="4:9" x14ac:dyDescent="0.2">
      <c r="D104" s="1"/>
      <c r="E104" s="1"/>
      <c r="F104" s="1"/>
      <c r="G104" s="20"/>
      <c r="H104" s="20"/>
      <c r="I104" s="20"/>
    </row>
    <row r="105" spans="4:9" x14ac:dyDescent="0.2">
      <c r="D105" s="1"/>
      <c r="E105" s="1"/>
      <c r="F105" s="1"/>
      <c r="G105" s="20"/>
      <c r="H105" s="20"/>
      <c r="I105" s="20"/>
    </row>
    <row r="106" spans="4:9" x14ac:dyDescent="0.2">
      <c r="D106" s="1"/>
      <c r="E106" s="1"/>
      <c r="F106" s="1"/>
      <c r="G106" s="20"/>
      <c r="H106" s="20"/>
      <c r="I106" s="20"/>
    </row>
    <row r="107" spans="4:9" x14ac:dyDescent="0.2">
      <c r="D107" s="1"/>
      <c r="E107" s="1"/>
      <c r="F107" s="1"/>
      <c r="G107" s="20"/>
      <c r="H107" s="20"/>
      <c r="I107" s="20"/>
    </row>
    <row r="108" spans="4:9" x14ac:dyDescent="0.2">
      <c r="D108" s="1"/>
      <c r="E108" s="1"/>
      <c r="F108" s="1"/>
      <c r="G108" s="20"/>
      <c r="H108" s="20"/>
      <c r="I108" s="20"/>
    </row>
  </sheetData>
  <mergeCells count="7">
    <mergeCell ref="R2:T2"/>
    <mergeCell ref="J1:K2"/>
    <mergeCell ref="D2:F2"/>
    <mergeCell ref="N1:T1"/>
    <mergeCell ref="N2:Q2"/>
    <mergeCell ref="G1:I2"/>
    <mergeCell ref="L1:M2"/>
  </mergeCells>
  <pageMargins left="0.7" right="0.7" top="0.75" bottom="0.75" header="0.3" footer="0.3"/>
  <pageSetup paperSize="9" orientation="portrait" r:id="rId1"/>
  <ignoredErrors>
    <ignoredError sqref="Q15"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5"/>
  <sheetViews>
    <sheetView workbookViewId="0">
      <pane xSplit="1" ySplit="3" topLeftCell="B4" activePane="bottomRight" state="frozen"/>
      <selection pane="topRight" activeCell="B1" sqref="B1"/>
      <selection pane="bottomLeft" activeCell="A4" sqref="A4"/>
      <selection pane="bottomRight" activeCell="A2" sqref="A2"/>
    </sheetView>
  </sheetViews>
  <sheetFormatPr defaultRowHeight="12" x14ac:dyDescent="0.2"/>
  <cols>
    <col min="1" max="1" width="32.85546875" style="20" bestFit="1" customWidth="1"/>
    <col min="2" max="2" width="9.7109375" style="20" bestFit="1" customWidth="1"/>
    <col min="3" max="3" width="10" style="20" bestFit="1" customWidth="1"/>
    <col min="4" max="4" width="8.7109375" style="20" bestFit="1" customWidth="1"/>
    <col min="5" max="5" width="6.7109375" style="20" bestFit="1" customWidth="1"/>
    <col min="6" max="6" width="6.140625" style="20" bestFit="1" customWidth="1"/>
    <col min="7" max="9" width="9.5703125" style="20" bestFit="1" customWidth="1"/>
    <col min="10" max="11" width="9.140625" style="20"/>
    <col min="12" max="12" width="8.7109375" style="20" bestFit="1" customWidth="1"/>
    <col min="13" max="13" width="6.7109375" style="20" bestFit="1" customWidth="1"/>
    <col min="14" max="14" width="6.140625" style="20" bestFit="1" customWidth="1"/>
    <col min="15" max="15" width="6.5703125" style="20" bestFit="1" customWidth="1"/>
    <col min="16" max="16" width="9.7109375" style="20" customWidth="1"/>
    <col min="17" max="18" width="9.5703125" style="20" bestFit="1" customWidth="1"/>
    <col min="19" max="19" width="12.7109375" style="20" customWidth="1"/>
    <col min="20" max="16384" width="9.140625" style="20"/>
  </cols>
  <sheetData>
    <row r="1" spans="1:20" ht="15" customHeight="1" x14ac:dyDescent="0.2">
      <c r="A1" s="2" t="s">
        <v>406</v>
      </c>
      <c r="B1" s="3"/>
      <c r="C1" s="1"/>
      <c r="G1" s="187" t="s">
        <v>369</v>
      </c>
      <c r="H1" s="187"/>
      <c r="I1" s="187"/>
      <c r="J1" s="180" t="s">
        <v>241</v>
      </c>
      <c r="K1" s="180"/>
      <c r="L1" s="190" t="s">
        <v>388</v>
      </c>
      <c r="M1" s="190"/>
      <c r="N1" s="190"/>
      <c r="O1" s="190"/>
      <c r="P1" s="190"/>
      <c r="Q1" s="190"/>
      <c r="R1" s="190"/>
    </row>
    <row r="2" spans="1:20" ht="12" customHeight="1" x14ac:dyDescent="0.2">
      <c r="A2" s="2"/>
      <c r="B2" s="3"/>
      <c r="C2" s="1"/>
      <c r="D2" s="185" t="s">
        <v>236</v>
      </c>
      <c r="E2" s="185"/>
      <c r="F2" s="185"/>
      <c r="G2" s="187"/>
      <c r="H2" s="187"/>
      <c r="I2" s="187"/>
      <c r="J2" s="180"/>
      <c r="K2" s="180"/>
      <c r="L2" s="191" t="s">
        <v>387</v>
      </c>
      <c r="M2" s="191"/>
      <c r="N2" s="191"/>
      <c r="O2" s="191"/>
      <c r="P2" s="184" t="s">
        <v>395</v>
      </c>
      <c r="Q2" s="184"/>
      <c r="R2" s="184"/>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18</v>
      </c>
      <c r="B4" s="8">
        <v>56651000</v>
      </c>
      <c r="C4" s="7">
        <v>47357000</v>
      </c>
      <c r="D4" s="19">
        <v>45</v>
      </c>
      <c r="E4" s="19">
        <v>30</v>
      </c>
      <c r="F4" s="19">
        <v>25</v>
      </c>
      <c r="G4" s="30">
        <f>ROUND(D4/100*C4,2)</f>
        <v>21310650</v>
      </c>
      <c r="H4" s="30">
        <f>ROUND(E4/100*C4,2)</f>
        <v>14207100</v>
      </c>
      <c r="I4" s="30">
        <f>ROUND(F4/100*C4,2)</f>
        <v>11839250</v>
      </c>
      <c r="J4" s="30"/>
      <c r="K4" s="30"/>
      <c r="L4" s="30">
        <f>ROUND(24*G4/100000,7)</f>
        <v>5114.5559999999996</v>
      </c>
      <c r="M4" s="30">
        <f>ROUND(9.7*H4/100000,7)</f>
        <v>1378.0887</v>
      </c>
      <c r="N4" s="30">
        <f>ROUND(5.1*I4/100000,7)</f>
        <v>603.80174999999997</v>
      </c>
      <c r="O4" s="30">
        <f>ROUND(SUM(L4:N4),7)</f>
        <v>7096.4464500000004</v>
      </c>
      <c r="P4" s="30">
        <f>ROUND(O4*100/0.13,7)</f>
        <v>5458804.9615385002</v>
      </c>
      <c r="Q4" s="30">
        <f>ROUND(O4*100/0.1,7)</f>
        <v>7096446.4500000002</v>
      </c>
      <c r="R4" s="30">
        <f>ROUND((P4+Q4)/2,7)</f>
        <v>6277625.7057693005</v>
      </c>
      <c r="S4" s="30">
        <v>36879.692573298096</v>
      </c>
      <c r="T4" s="30">
        <f>SUM(O4+S4)</f>
        <v>43976.139023298099</v>
      </c>
    </row>
    <row r="5" spans="1:20" x14ac:dyDescent="0.2">
      <c r="A5" s="6" t="s">
        <v>25</v>
      </c>
      <c r="B5" s="8">
        <v>331800</v>
      </c>
      <c r="C5" s="7">
        <v>320900</v>
      </c>
      <c r="D5" s="19">
        <v>43.6</v>
      </c>
      <c r="E5" s="19">
        <v>17.2</v>
      </c>
      <c r="F5" s="19">
        <v>39.200000000000003</v>
      </c>
      <c r="G5" s="30">
        <f>ROUND(D5/100*C5,2)</f>
        <v>139912.4</v>
      </c>
      <c r="H5" s="30">
        <f>ROUND(E5/100*C5,2)</f>
        <v>55194.8</v>
      </c>
      <c r="I5" s="30">
        <f>ROUND(F5/100*C5,2)</f>
        <v>125792.8</v>
      </c>
      <c r="J5" s="30"/>
      <c r="K5" s="30"/>
      <c r="L5" s="30">
        <f t="shared" ref="L5:L14" si="0">ROUND(24*G5/100000,7)</f>
        <v>33.578975999999997</v>
      </c>
      <c r="M5" s="30">
        <f t="shared" ref="M5:M14" si="1">ROUND(9.7*H5/100000,7)</f>
        <v>5.3538956000000004</v>
      </c>
      <c r="N5" s="30">
        <f t="shared" ref="N5:N14" si="2">ROUND(5.1*I5/100000,7)</f>
        <v>6.4154327999999996</v>
      </c>
      <c r="O5" s="30">
        <f t="shared" ref="O5:O14" si="3">ROUND(SUM(L5:N5),7)</f>
        <v>45.348304400000004</v>
      </c>
      <c r="P5" s="30">
        <f t="shared" ref="P5:P14" si="4">ROUND(O5*100/0.13,7)</f>
        <v>34883.311076899998</v>
      </c>
      <c r="Q5" s="30">
        <f t="shared" ref="Q5:Q14" si="5">ROUND(O5*100/0.1,7)</f>
        <v>45348.304400000001</v>
      </c>
      <c r="R5" s="30">
        <f t="shared" ref="R5:R14" si="6">ROUND((P5+Q5)/2,7)</f>
        <v>40115.8077385</v>
      </c>
      <c r="S5" s="30">
        <v>216.00116495419869</v>
      </c>
      <c r="T5" s="30">
        <f t="shared" ref="T5:T15" si="7">SUM(O5+S5)</f>
        <v>261.34946935419867</v>
      </c>
    </row>
    <row r="6" spans="1:20" x14ac:dyDescent="0.2">
      <c r="A6" s="6" t="s">
        <v>93</v>
      </c>
      <c r="B6" s="8">
        <v>478300000</v>
      </c>
      <c r="C6" s="7"/>
      <c r="D6" s="19">
        <v>53</v>
      </c>
      <c r="E6" s="19">
        <v>19</v>
      </c>
      <c r="F6" s="19">
        <v>28</v>
      </c>
      <c r="G6" s="30">
        <f>ROUND(D6/100*B6,2)</f>
        <v>253499000</v>
      </c>
      <c r="H6" s="30">
        <f>ROUND(E6/100*B6,2)</f>
        <v>90877000</v>
      </c>
      <c r="I6" s="30">
        <f>ROUND(F6/100*B6,2)</f>
        <v>133924000</v>
      </c>
      <c r="J6" s="30"/>
      <c r="K6" s="30"/>
      <c r="L6" s="30">
        <f t="shared" si="0"/>
        <v>60839.76</v>
      </c>
      <c r="M6" s="30">
        <f t="shared" si="1"/>
        <v>8815.0689999999995</v>
      </c>
      <c r="N6" s="30">
        <f t="shared" si="2"/>
        <v>6830.1239999999998</v>
      </c>
      <c r="O6" s="30">
        <f t="shared" si="3"/>
        <v>76484.952999999994</v>
      </c>
      <c r="P6" s="30">
        <f t="shared" si="4"/>
        <v>58834579.230769202</v>
      </c>
      <c r="Q6" s="30">
        <f t="shared" si="5"/>
        <v>76484953</v>
      </c>
      <c r="R6" s="30">
        <f t="shared" si="6"/>
        <v>67659766.115384594</v>
      </c>
      <c r="S6" s="30">
        <v>311372.38456176379</v>
      </c>
      <c r="T6" s="30">
        <f t="shared" si="7"/>
        <v>387857.33756176376</v>
      </c>
    </row>
    <row r="7" spans="1:20" x14ac:dyDescent="0.2">
      <c r="A7" s="6" t="s">
        <v>94</v>
      </c>
      <c r="B7" s="8">
        <v>116527500</v>
      </c>
      <c r="C7" s="9">
        <v>108207800</v>
      </c>
      <c r="D7" s="19">
        <v>38.4</v>
      </c>
      <c r="E7" s="19">
        <v>19.3</v>
      </c>
      <c r="F7" s="19">
        <v>42.3</v>
      </c>
      <c r="G7" s="30">
        <f>ROUND(D7/100*C7,2)</f>
        <v>41551795.200000003</v>
      </c>
      <c r="H7" s="30">
        <f>ROUND(E7/100*C7,2)</f>
        <v>20884105.399999999</v>
      </c>
      <c r="I7" s="30">
        <f>ROUND(F7/100*C7,2)</f>
        <v>45771899.399999999</v>
      </c>
      <c r="J7" s="8"/>
      <c r="K7" s="30"/>
      <c r="L7" s="30">
        <f t="shared" si="0"/>
        <v>9972.430848</v>
      </c>
      <c r="M7" s="30">
        <f t="shared" si="1"/>
        <v>2025.7582238</v>
      </c>
      <c r="N7" s="30">
        <f t="shared" si="2"/>
        <v>2334.3668693999998</v>
      </c>
      <c r="O7" s="30">
        <f t="shared" si="3"/>
        <v>14332.5559412</v>
      </c>
      <c r="P7" s="30">
        <f t="shared" si="4"/>
        <v>11025043.0316923</v>
      </c>
      <c r="Q7" s="30">
        <f t="shared" si="5"/>
        <v>14332555.941199999</v>
      </c>
      <c r="R7" s="30">
        <f t="shared" si="6"/>
        <v>12678799.486446099</v>
      </c>
      <c r="S7" s="30">
        <v>75859.179473177777</v>
      </c>
      <c r="T7" s="30">
        <f t="shared" si="7"/>
        <v>90191.735414377777</v>
      </c>
    </row>
    <row r="8" spans="1:20" x14ac:dyDescent="0.2">
      <c r="A8" s="6" t="s">
        <v>108</v>
      </c>
      <c r="B8" s="7">
        <v>14703060</v>
      </c>
      <c r="C8" s="7"/>
      <c r="D8" s="22">
        <v>43</v>
      </c>
      <c r="E8" s="24">
        <v>30</v>
      </c>
      <c r="F8" s="24">
        <v>27</v>
      </c>
      <c r="G8" s="30">
        <f>ROUND(D8/100*B8,2)</f>
        <v>6322315.7999999998</v>
      </c>
      <c r="H8" s="30">
        <f>ROUND(E8/100*B8,2)</f>
        <v>4410918</v>
      </c>
      <c r="I8" s="30">
        <f>ROUND(F8/100*B8,2)</f>
        <v>3969826.2</v>
      </c>
      <c r="J8" s="8"/>
      <c r="K8" s="30"/>
      <c r="L8" s="30">
        <f t="shared" si="0"/>
        <v>1517.3557920000001</v>
      </c>
      <c r="M8" s="30">
        <f t="shared" si="1"/>
        <v>427.85904599999998</v>
      </c>
      <c r="N8" s="30">
        <f t="shared" si="2"/>
        <v>202.4611362</v>
      </c>
      <c r="O8" s="30">
        <f t="shared" si="3"/>
        <v>2147.6759741999999</v>
      </c>
      <c r="P8" s="30">
        <f t="shared" si="4"/>
        <v>1652058.4416922999</v>
      </c>
      <c r="Q8" s="30">
        <f t="shared" si="5"/>
        <v>2147675.9742000001</v>
      </c>
      <c r="R8" s="30">
        <f t="shared" si="6"/>
        <v>1899867.2079461999</v>
      </c>
      <c r="S8" s="30">
        <v>9571.6639192027724</v>
      </c>
      <c r="T8" s="30">
        <f t="shared" si="7"/>
        <v>11719.339893402772</v>
      </c>
    </row>
    <row r="9" spans="1:20" x14ac:dyDescent="0.2">
      <c r="A9" s="6" t="s">
        <v>126</v>
      </c>
      <c r="B9" s="8">
        <v>111400</v>
      </c>
      <c r="C9" s="13">
        <v>98400</v>
      </c>
      <c r="D9" s="19">
        <v>11</v>
      </c>
      <c r="E9" s="19">
        <v>23</v>
      </c>
      <c r="F9" s="19">
        <v>65</v>
      </c>
      <c r="G9" s="30">
        <f>ROUND(D9/100*C9,2)</f>
        <v>10824</v>
      </c>
      <c r="H9" s="30">
        <f>ROUND(E9/100*C9,2)</f>
        <v>22632</v>
      </c>
      <c r="I9" s="30">
        <f>ROUND(F9/100*C9,2)</f>
        <v>63960</v>
      </c>
      <c r="J9" s="8"/>
      <c r="K9" s="30"/>
      <c r="L9" s="30">
        <f t="shared" si="0"/>
        <v>2.5977600000000001</v>
      </c>
      <c r="M9" s="30">
        <f t="shared" si="1"/>
        <v>2.1953040000000001</v>
      </c>
      <c r="N9" s="30">
        <f t="shared" si="2"/>
        <v>3.2619600000000002</v>
      </c>
      <c r="O9" s="30">
        <f t="shared" si="3"/>
        <v>8.0550239999999995</v>
      </c>
      <c r="P9" s="30">
        <f t="shared" si="4"/>
        <v>6196.1723076999997</v>
      </c>
      <c r="Q9" s="30">
        <f t="shared" si="5"/>
        <v>8055.0240000000003</v>
      </c>
      <c r="R9" s="30">
        <f t="shared" si="6"/>
        <v>7125.5981539000004</v>
      </c>
      <c r="S9" s="30">
        <v>72.521186786912992</v>
      </c>
      <c r="T9" s="30">
        <f t="shared" si="7"/>
        <v>80.576210786912995</v>
      </c>
    </row>
    <row r="10" spans="1:20" x14ac:dyDescent="0.2">
      <c r="A10" s="6" t="s">
        <v>143</v>
      </c>
      <c r="B10" s="8">
        <v>31680000</v>
      </c>
      <c r="C10" s="7"/>
      <c r="D10" s="19">
        <v>70</v>
      </c>
      <c r="E10" s="19">
        <v>7</v>
      </c>
      <c r="F10" s="19">
        <v>23</v>
      </c>
      <c r="G10" s="30">
        <f t="shared" ref="G10:G11" si="8">ROUND(D10/100*B10,2)</f>
        <v>22176000</v>
      </c>
      <c r="H10" s="30">
        <f t="shared" ref="H10:H11" si="9">ROUND(E10/100*B10,2)</f>
        <v>2217600</v>
      </c>
      <c r="I10" s="30">
        <f t="shared" ref="I10:I11" si="10">ROUND(F10/100*B10,2)</f>
        <v>7286400</v>
      </c>
      <c r="J10" s="8"/>
      <c r="K10" s="7"/>
      <c r="L10" s="30">
        <f t="shared" si="0"/>
        <v>5322.24</v>
      </c>
      <c r="M10" s="30">
        <f t="shared" si="1"/>
        <v>215.10720000000001</v>
      </c>
      <c r="N10" s="30">
        <f t="shared" si="2"/>
        <v>371.60640000000001</v>
      </c>
      <c r="O10" s="30">
        <f t="shared" si="3"/>
        <v>5908.9535999999998</v>
      </c>
      <c r="P10" s="30">
        <f t="shared" si="4"/>
        <v>4545348.9230768997</v>
      </c>
      <c r="Q10" s="30">
        <f t="shared" si="5"/>
        <v>5908953.5999999996</v>
      </c>
      <c r="R10" s="30">
        <f t="shared" si="6"/>
        <v>5227151.2615385</v>
      </c>
      <c r="S10" s="30">
        <v>20623.619366332168</v>
      </c>
      <c r="T10" s="30">
        <f t="shared" si="7"/>
        <v>26532.572966332169</v>
      </c>
    </row>
    <row r="11" spans="1:20" x14ac:dyDescent="0.2">
      <c r="A11" s="6" t="s">
        <v>146</v>
      </c>
      <c r="B11" s="7">
        <v>14165725</v>
      </c>
      <c r="C11" s="7"/>
      <c r="D11" s="19">
        <v>75</v>
      </c>
      <c r="E11" s="19">
        <v>7</v>
      </c>
      <c r="F11" s="19">
        <v>18</v>
      </c>
      <c r="G11" s="30">
        <f t="shared" si="8"/>
        <v>10624293.75</v>
      </c>
      <c r="H11" s="30">
        <f t="shared" si="9"/>
        <v>991600.75</v>
      </c>
      <c r="I11" s="30">
        <f t="shared" si="10"/>
        <v>2549830.5</v>
      </c>
      <c r="J11" s="8"/>
      <c r="K11" s="7"/>
      <c r="L11" s="30">
        <f t="shared" si="0"/>
        <v>2549.8305</v>
      </c>
      <c r="M11" s="30">
        <f t="shared" si="1"/>
        <v>96.185272800000007</v>
      </c>
      <c r="N11" s="30">
        <f t="shared" si="2"/>
        <v>130.04135550000001</v>
      </c>
      <c r="O11" s="30">
        <f t="shared" si="3"/>
        <v>2776.0571282999999</v>
      </c>
      <c r="P11" s="30">
        <f t="shared" si="4"/>
        <v>2135428.5602308</v>
      </c>
      <c r="Q11" s="30">
        <f t="shared" si="5"/>
        <v>2776057.1283</v>
      </c>
      <c r="R11" s="30">
        <f t="shared" si="6"/>
        <v>2455742.8442654</v>
      </c>
      <c r="S11" s="30">
        <v>9221.8598626305484</v>
      </c>
      <c r="T11" s="30">
        <f t="shared" si="7"/>
        <v>11997.916990930549</v>
      </c>
    </row>
    <row r="12" spans="1:20" x14ac:dyDescent="0.2">
      <c r="A12" s="6" t="s">
        <v>194</v>
      </c>
      <c r="B12" s="8">
        <v>8107700</v>
      </c>
      <c r="C12" s="9">
        <v>7706600</v>
      </c>
      <c r="D12" s="19">
        <v>31.8</v>
      </c>
      <c r="E12" s="19">
        <v>25.8</v>
      </c>
      <c r="F12" s="19">
        <v>42.4</v>
      </c>
      <c r="G12" s="30">
        <f t="shared" ref="G12:G13" si="11">ROUND(D12/100*C12,2)</f>
        <v>2450698.7999999998</v>
      </c>
      <c r="H12" s="30">
        <f t="shared" ref="H12:H13" si="12">ROUND(E12/100*C12,2)</f>
        <v>1988302.8</v>
      </c>
      <c r="I12" s="30">
        <f t="shared" ref="I12:I13" si="13">ROUND(F12/100*C12,2)</f>
        <v>3267598.4</v>
      </c>
      <c r="J12" s="8">
        <v>64</v>
      </c>
      <c r="K12" s="137">
        <v>1456</v>
      </c>
      <c r="L12" s="30">
        <f t="shared" si="0"/>
        <v>588.16771200000005</v>
      </c>
      <c r="M12" s="30">
        <f t="shared" si="1"/>
        <v>192.8653716</v>
      </c>
      <c r="N12" s="30">
        <f t="shared" si="2"/>
        <v>166.6475184</v>
      </c>
      <c r="O12" s="30">
        <f t="shared" si="3"/>
        <v>947.68060200000002</v>
      </c>
      <c r="P12" s="30">
        <f t="shared" si="4"/>
        <v>728985.0784615</v>
      </c>
      <c r="Q12" s="30">
        <f t="shared" si="5"/>
        <v>947680.60199999996</v>
      </c>
      <c r="R12" s="30">
        <f t="shared" si="6"/>
        <v>838332.84023079998</v>
      </c>
      <c r="S12" s="30">
        <v>5278.0971823362161</v>
      </c>
      <c r="T12" s="30">
        <f t="shared" si="7"/>
        <v>6225.7777843362164</v>
      </c>
    </row>
    <row r="13" spans="1:20" x14ac:dyDescent="0.2">
      <c r="A13" s="6" t="s">
        <v>204</v>
      </c>
      <c r="B13" s="8">
        <v>38643500</v>
      </c>
      <c r="C13" s="9">
        <v>38037300</v>
      </c>
      <c r="D13" s="19">
        <v>38.200000000000003</v>
      </c>
      <c r="E13" s="19">
        <v>13.6</v>
      </c>
      <c r="F13" s="19">
        <v>48.2</v>
      </c>
      <c r="G13" s="30">
        <f t="shared" si="11"/>
        <v>14530248.6</v>
      </c>
      <c r="H13" s="30">
        <f t="shared" si="12"/>
        <v>5173072.8</v>
      </c>
      <c r="I13" s="30">
        <f t="shared" si="13"/>
        <v>18333978.600000001</v>
      </c>
      <c r="J13" s="8">
        <v>619</v>
      </c>
      <c r="K13" s="7">
        <v>145892</v>
      </c>
      <c r="L13" s="30">
        <f t="shared" si="0"/>
        <v>3487.2596640000002</v>
      </c>
      <c r="M13" s="30">
        <f t="shared" si="1"/>
        <v>501.78806159999999</v>
      </c>
      <c r="N13" s="30">
        <f t="shared" si="2"/>
        <v>935.03290860000004</v>
      </c>
      <c r="O13" s="30">
        <f t="shared" si="3"/>
        <v>4924.0806341999996</v>
      </c>
      <c r="P13" s="30">
        <f t="shared" si="4"/>
        <v>3787754.3339999998</v>
      </c>
      <c r="Q13" s="30">
        <f t="shared" si="5"/>
        <v>4924080.6342000002</v>
      </c>
      <c r="R13" s="30">
        <f t="shared" si="6"/>
        <v>4355917.4841</v>
      </c>
      <c r="S13" s="30">
        <v>25156.844538600293</v>
      </c>
      <c r="T13" s="30">
        <f t="shared" si="7"/>
        <v>30080.925172800293</v>
      </c>
    </row>
    <row r="14" spans="1:20" x14ac:dyDescent="0.2">
      <c r="A14" s="6" t="s">
        <v>205</v>
      </c>
      <c r="B14" s="7">
        <v>341224</v>
      </c>
      <c r="C14" s="7"/>
      <c r="D14" s="19">
        <v>64</v>
      </c>
      <c r="E14" s="19">
        <v>10</v>
      </c>
      <c r="F14" s="19">
        <v>26</v>
      </c>
      <c r="G14" s="30">
        <f>ROUND(D14/100*B14,2)</f>
        <v>218383.35999999999</v>
      </c>
      <c r="H14" s="30">
        <f>ROUND(E14/100*B14,2)</f>
        <v>34122.400000000001</v>
      </c>
      <c r="I14" s="30">
        <f>ROUND(F14/100*B14,2)</f>
        <v>88718.24</v>
      </c>
      <c r="J14" s="8"/>
      <c r="K14" s="30"/>
      <c r="L14" s="30">
        <f t="shared" si="0"/>
        <v>52.412006400000003</v>
      </c>
      <c r="M14" s="30">
        <f t="shared" si="1"/>
        <v>3.3098727999999999</v>
      </c>
      <c r="N14" s="30">
        <f t="shared" si="2"/>
        <v>4.5246301999999998</v>
      </c>
      <c r="O14" s="30">
        <f t="shared" si="3"/>
        <v>60.246509400000001</v>
      </c>
      <c r="P14" s="30">
        <f t="shared" si="4"/>
        <v>46343.468769200001</v>
      </c>
      <c r="Q14" s="30">
        <f t="shared" si="5"/>
        <v>60246.509400000003</v>
      </c>
      <c r="R14" s="30">
        <f t="shared" si="6"/>
        <v>53294.989084599998</v>
      </c>
      <c r="S14" s="30">
        <v>222.13617091721363</v>
      </c>
      <c r="T14" s="30">
        <f t="shared" si="7"/>
        <v>282.38268031721361</v>
      </c>
    </row>
    <row r="15" spans="1:20" s="32" customFormat="1" x14ac:dyDescent="0.2">
      <c r="A15" s="32" t="s">
        <v>231</v>
      </c>
      <c r="B15" s="33">
        <f>SUM(B4:B14)</f>
        <v>759562909</v>
      </c>
      <c r="C15" s="33">
        <f>SUM(C4:C14)</f>
        <v>201728000</v>
      </c>
      <c r="G15" s="33">
        <f>ROUND(SUM(G4:G14),2)</f>
        <v>372834121.91000003</v>
      </c>
      <c r="H15" s="33">
        <f>ROUND(SUM(H4:H14),2)</f>
        <v>140861648.94999999</v>
      </c>
      <c r="I15" s="33">
        <f>ROUND(SUM(I4:I14),2)</f>
        <v>227221254.13999999</v>
      </c>
      <c r="J15" s="33">
        <f t="shared" ref="J15:K15" si="14">SUM(J4:J14)</f>
        <v>683</v>
      </c>
      <c r="K15" s="33">
        <f t="shared" si="14"/>
        <v>147348</v>
      </c>
      <c r="L15" s="33">
        <f t="shared" ref="L15:R15" si="15">ROUND(SUM(L4:L14),7)</f>
        <v>89480.189258400002</v>
      </c>
      <c r="M15" s="33">
        <f t="shared" si="15"/>
        <v>13663.5799482</v>
      </c>
      <c r="N15" s="33">
        <f t="shared" si="15"/>
        <v>11588.2839611</v>
      </c>
      <c r="O15" s="33">
        <f t="shared" si="15"/>
        <v>114732.0531677</v>
      </c>
      <c r="P15" s="33">
        <f t="shared" si="15"/>
        <v>88255425.513615295</v>
      </c>
      <c r="Q15" s="33">
        <f t="shared" si="15"/>
        <v>114732053.16769999</v>
      </c>
      <c r="R15" s="33">
        <f t="shared" si="15"/>
        <v>101493739.34065799</v>
      </c>
      <c r="S15" s="31">
        <v>494474</v>
      </c>
      <c r="T15" s="33">
        <f t="shared" si="7"/>
        <v>609206.05316769995</v>
      </c>
    </row>
  </sheetData>
  <mergeCells count="6">
    <mergeCell ref="P2:R2"/>
    <mergeCell ref="J1:K2"/>
    <mergeCell ref="D2:F2"/>
    <mergeCell ref="L1:R1"/>
    <mergeCell ref="L2:O2"/>
    <mergeCell ref="G1:I2"/>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1"/>
  <sheetViews>
    <sheetView tabSelected="1" workbookViewId="0">
      <pane xSplit="1" ySplit="3" topLeftCell="B4" activePane="bottomRight" state="frozen"/>
      <selection pane="topRight" activeCell="B1" sqref="B1"/>
      <selection pane="bottomLeft" activeCell="A4" sqref="A4"/>
      <selection pane="bottomRight" activeCell="A3" sqref="A3"/>
    </sheetView>
  </sheetViews>
  <sheetFormatPr defaultRowHeight="12" x14ac:dyDescent="0.2"/>
  <cols>
    <col min="1" max="1" width="32.85546875" style="1" bestFit="1" customWidth="1"/>
    <col min="2" max="2" width="9.7109375" style="1" bestFit="1" customWidth="1"/>
    <col min="3" max="3" width="10" style="1" bestFit="1" customWidth="1"/>
    <col min="4" max="4" width="8.7109375" style="20" bestFit="1" customWidth="1"/>
    <col min="5" max="5" width="6.7109375" style="20" bestFit="1" customWidth="1"/>
    <col min="6" max="6" width="6.140625" style="20" bestFit="1" customWidth="1"/>
    <col min="7" max="9" width="9.5703125" style="1" bestFit="1" customWidth="1"/>
    <col min="10" max="11" width="9.140625" style="1"/>
    <col min="12" max="12" width="8.7109375" style="1" bestFit="1" customWidth="1"/>
    <col min="13" max="13" width="6.7109375" style="1" bestFit="1" customWidth="1"/>
    <col min="14" max="15" width="6.5703125" style="1" bestFit="1" customWidth="1"/>
    <col min="16" max="16" width="10.42578125" style="20" customWidth="1"/>
    <col min="17" max="18" width="9.5703125" style="20" bestFit="1" customWidth="1"/>
    <col min="19" max="19" width="12.7109375" style="1" customWidth="1"/>
    <col min="20" max="16384" width="9.140625" style="1"/>
  </cols>
  <sheetData>
    <row r="1" spans="1:20" ht="15" customHeight="1" x14ac:dyDescent="0.2">
      <c r="A1" s="2" t="s">
        <v>407</v>
      </c>
      <c r="B1" s="3"/>
      <c r="G1" s="187" t="s">
        <v>369</v>
      </c>
      <c r="H1" s="187"/>
      <c r="I1" s="187"/>
      <c r="J1" s="180" t="s">
        <v>241</v>
      </c>
      <c r="K1" s="180"/>
      <c r="L1" s="190" t="s">
        <v>388</v>
      </c>
      <c r="M1" s="190"/>
      <c r="N1" s="190"/>
      <c r="O1" s="190"/>
      <c r="P1" s="190"/>
      <c r="Q1" s="190"/>
      <c r="R1" s="190"/>
    </row>
    <row r="2" spans="1:20" ht="12" customHeight="1" x14ac:dyDescent="0.2">
      <c r="A2" s="2"/>
      <c r="B2" s="3"/>
      <c r="D2" s="185" t="s">
        <v>236</v>
      </c>
      <c r="E2" s="185"/>
      <c r="F2" s="185"/>
      <c r="G2" s="187"/>
      <c r="H2" s="187"/>
      <c r="I2" s="187"/>
      <c r="J2" s="180"/>
      <c r="K2" s="180"/>
      <c r="L2" s="191" t="s">
        <v>387</v>
      </c>
      <c r="M2" s="191"/>
      <c r="N2" s="191"/>
      <c r="O2" s="191"/>
      <c r="P2" s="184" t="s">
        <v>395</v>
      </c>
      <c r="Q2" s="184"/>
      <c r="R2" s="184"/>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5</v>
      </c>
      <c r="B4" s="8"/>
      <c r="C4" s="8">
        <v>18862</v>
      </c>
      <c r="D4" s="22">
        <v>34</v>
      </c>
      <c r="E4" s="24">
        <v>33</v>
      </c>
      <c r="F4" s="24">
        <v>33</v>
      </c>
      <c r="G4" s="30">
        <f>ROUND(D4/100*C4,2)</f>
        <v>6413.08</v>
      </c>
      <c r="H4" s="30">
        <f>ROUND(E4/100*C4,2)</f>
        <v>6224.46</v>
      </c>
      <c r="I4" s="30">
        <f>ROUND(F4/100*C4,2)</f>
        <v>6224.46</v>
      </c>
      <c r="J4" s="30"/>
      <c r="K4" s="30"/>
      <c r="L4" s="30">
        <f>ROUND(24*G4/100000,7)</f>
        <v>1.5391391999999999</v>
      </c>
      <c r="M4" s="30">
        <f>ROUND(9.7*H4/100000,7)</f>
        <v>0.60377259999999999</v>
      </c>
      <c r="N4" s="30">
        <f>ROUND(5.1*I4/100000,7)</f>
        <v>0.31744749999999999</v>
      </c>
      <c r="O4" s="30">
        <f>ROUND(SUM(L4:N4),7)</f>
        <v>2.4603592999999999</v>
      </c>
      <c r="P4" s="30">
        <f>ROUND(O4*100/0.13,7)</f>
        <v>1892.5840768999999</v>
      </c>
      <c r="Q4" s="30">
        <f>ROUND(O4*100/0.1,7)</f>
        <v>2460.3593000000001</v>
      </c>
      <c r="R4" s="30">
        <f>ROUND((P4+Q4)/2,7)</f>
        <v>2176.4716884999998</v>
      </c>
      <c r="S4" s="16">
        <v>9.8697814094306953</v>
      </c>
      <c r="T4" s="16">
        <f>SUM(O4+S4)</f>
        <v>12.330140709430696</v>
      </c>
    </row>
    <row r="5" spans="1:20" x14ac:dyDescent="0.2">
      <c r="A5" s="6" t="s">
        <v>34</v>
      </c>
      <c r="B5" s="7">
        <v>8107510</v>
      </c>
      <c r="C5" s="7">
        <v>6560600</v>
      </c>
      <c r="D5" s="19">
        <v>55.8</v>
      </c>
      <c r="E5" s="19">
        <v>16.899999999999999</v>
      </c>
      <c r="F5" s="19">
        <v>27.3</v>
      </c>
      <c r="G5" s="30">
        <f t="shared" ref="G5:G11" si="0">ROUND(D5/100*C5,2)</f>
        <v>3660814.8</v>
      </c>
      <c r="H5" s="30">
        <f t="shared" ref="H5:H11" si="1">ROUND(E5/100*C5,2)</f>
        <v>1108741.3999999999</v>
      </c>
      <c r="I5" s="30">
        <f t="shared" ref="I5:I11" si="2">ROUND(F5/100*C5,2)</f>
        <v>1791043.8</v>
      </c>
      <c r="J5" s="8"/>
      <c r="K5" s="30"/>
      <c r="L5" s="30">
        <f t="shared" ref="L5:L18" si="3">ROUND(24*G5/100000,7)</f>
        <v>878.595552</v>
      </c>
      <c r="M5" s="30">
        <f t="shared" ref="M5:M18" si="4">ROUND(9.7*H5/100000,7)</f>
        <v>107.5479158</v>
      </c>
      <c r="N5" s="30">
        <f t="shared" ref="N5:N35" si="5">ROUND(5.1*I5/100000,7)</f>
        <v>91.343233799999993</v>
      </c>
      <c r="O5" s="30">
        <f t="shared" ref="O5:O18" si="6">ROUND(SUM(L5:N5),7)</f>
        <v>1077.4867016000001</v>
      </c>
      <c r="P5" s="30">
        <f t="shared" ref="P5:P18" si="7">ROUND(O5*100/0.13,7)</f>
        <v>828835.92430770001</v>
      </c>
      <c r="Q5" s="30">
        <f t="shared" ref="Q5:Q18" si="8">ROUND(O5*100/0.1,7)</f>
        <v>1077486.7016</v>
      </c>
      <c r="R5" s="30">
        <f t="shared" ref="R5:R18" si="9">ROUND((P5+Q5)/2,7)</f>
        <v>953161.31295389996</v>
      </c>
      <c r="S5" s="16">
        <v>4242.3577284897392</v>
      </c>
      <c r="T5" s="16">
        <f t="shared" ref="T5:T36" si="10">SUM(O5+S5)</f>
        <v>5319.844430089739</v>
      </c>
    </row>
    <row r="6" spans="1:20" x14ac:dyDescent="0.2">
      <c r="A6" s="6" t="s">
        <v>42</v>
      </c>
      <c r="B6" s="8">
        <v>783880000</v>
      </c>
      <c r="C6" s="10">
        <v>761050000</v>
      </c>
      <c r="D6" s="19">
        <v>34.799999999999997</v>
      </c>
      <c r="E6" s="19">
        <v>29.5</v>
      </c>
      <c r="F6" s="19">
        <v>35.700000000000003</v>
      </c>
      <c r="G6" s="30">
        <f t="shared" si="0"/>
        <v>264845400</v>
      </c>
      <c r="H6" s="30">
        <f t="shared" si="1"/>
        <v>224509750</v>
      </c>
      <c r="I6" s="30">
        <f t="shared" si="2"/>
        <v>271694850</v>
      </c>
      <c r="J6" s="8"/>
      <c r="K6" s="30"/>
      <c r="L6" s="30">
        <f t="shared" si="3"/>
        <v>63562.896000000001</v>
      </c>
      <c r="M6" s="30">
        <f t="shared" si="4"/>
        <v>21777.445749999999</v>
      </c>
      <c r="N6" s="30">
        <f t="shared" si="5"/>
        <v>13856.43735</v>
      </c>
      <c r="O6" s="30">
        <f t="shared" si="6"/>
        <v>99196.7791</v>
      </c>
      <c r="P6" s="30">
        <f t="shared" si="7"/>
        <v>76305214.692307696</v>
      </c>
      <c r="Q6" s="30">
        <f t="shared" si="8"/>
        <v>99196779.099999994</v>
      </c>
      <c r="R6" s="30">
        <f t="shared" si="9"/>
        <v>87750996.896153793</v>
      </c>
      <c r="S6" s="16">
        <v>410175.18032152124</v>
      </c>
      <c r="T6" s="16">
        <f t="shared" si="10"/>
        <v>509371.95942152123</v>
      </c>
    </row>
    <row r="7" spans="1:20" x14ac:dyDescent="0.2">
      <c r="A7" s="6" t="s">
        <v>47</v>
      </c>
      <c r="B7" s="8">
        <v>6800</v>
      </c>
      <c r="C7" s="7">
        <v>5900</v>
      </c>
      <c r="D7" s="19">
        <v>29</v>
      </c>
      <c r="E7" s="19">
        <v>15</v>
      </c>
      <c r="F7" s="19">
        <v>56</v>
      </c>
      <c r="G7" s="30">
        <f t="shared" si="0"/>
        <v>1711</v>
      </c>
      <c r="H7" s="30">
        <f t="shared" si="1"/>
        <v>885</v>
      </c>
      <c r="I7" s="30">
        <f t="shared" si="2"/>
        <v>3304</v>
      </c>
      <c r="J7" s="8"/>
      <c r="K7" s="30"/>
      <c r="L7" s="30">
        <f t="shared" si="3"/>
        <v>0.41064000000000001</v>
      </c>
      <c r="M7" s="30">
        <f t="shared" si="4"/>
        <v>8.5845000000000005E-2</v>
      </c>
      <c r="N7" s="30">
        <f t="shared" si="5"/>
        <v>0.16850399999999999</v>
      </c>
      <c r="O7" s="30">
        <f t="shared" si="6"/>
        <v>0.66498900000000005</v>
      </c>
      <c r="P7" s="30">
        <f t="shared" si="7"/>
        <v>511.53</v>
      </c>
      <c r="Q7" s="30">
        <f t="shared" si="8"/>
        <v>664.98900000000003</v>
      </c>
      <c r="R7" s="30">
        <f t="shared" si="9"/>
        <v>588.2595</v>
      </c>
      <c r="S7" s="16">
        <v>3.558186490516845</v>
      </c>
      <c r="T7" s="16">
        <f t="shared" si="10"/>
        <v>4.2231754905168453</v>
      </c>
    </row>
    <row r="8" spans="1:20" x14ac:dyDescent="0.2">
      <c r="A8" s="6" t="s">
        <v>67</v>
      </c>
      <c r="B8" s="7">
        <v>364577</v>
      </c>
      <c r="C8" s="7">
        <v>299000</v>
      </c>
      <c r="D8" s="22">
        <v>70</v>
      </c>
      <c r="E8" s="24">
        <v>8</v>
      </c>
      <c r="F8" s="24">
        <v>22</v>
      </c>
      <c r="G8" s="30">
        <f t="shared" si="0"/>
        <v>209300</v>
      </c>
      <c r="H8" s="30">
        <f t="shared" si="1"/>
        <v>23920</v>
      </c>
      <c r="I8" s="30">
        <f t="shared" si="2"/>
        <v>65780</v>
      </c>
      <c r="J8" s="8"/>
      <c r="K8" s="30"/>
      <c r="L8" s="30">
        <f t="shared" si="3"/>
        <v>50.231999999999999</v>
      </c>
      <c r="M8" s="30">
        <f t="shared" si="4"/>
        <v>2.3202400000000001</v>
      </c>
      <c r="N8" s="30">
        <f t="shared" si="5"/>
        <v>3.3547799999999999</v>
      </c>
      <c r="O8" s="30">
        <f t="shared" si="6"/>
        <v>55.907020000000003</v>
      </c>
      <c r="P8" s="30">
        <f t="shared" si="7"/>
        <v>43005.4</v>
      </c>
      <c r="Q8" s="30">
        <f t="shared" si="8"/>
        <v>55907.02</v>
      </c>
      <c r="R8" s="30">
        <f t="shared" si="9"/>
        <v>49456.21</v>
      </c>
      <c r="S8" s="16">
        <v>190.76955237546468</v>
      </c>
      <c r="T8" s="16">
        <f t="shared" si="10"/>
        <v>246.67657237546467</v>
      </c>
    </row>
    <row r="9" spans="1:20" x14ac:dyDescent="0.2">
      <c r="A9" s="6" t="s">
        <v>71</v>
      </c>
      <c r="B9" s="9">
        <v>117524</v>
      </c>
      <c r="C9" s="9">
        <v>95300</v>
      </c>
      <c r="D9" s="19">
        <v>13</v>
      </c>
      <c r="E9" s="19">
        <v>19</v>
      </c>
      <c r="F9" s="19">
        <v>68</v>
      </c>
      <c r="G9" s="30">
        <f t="shared" si="0"/>
        <v>12389</v>
      </c>
      <c r="H9" s="30">
        <f t="shared" si="1"/>
        <v>18107</v>
      </c>
      <c r="I9" s="30">
        <f t="shared" si="2"/>
        <v>64804</v>
      </c>
      <c r="J9" s="8"/>
      <c r="K9" s="30"/>
      <c r="L9" s="30">
        <f t="shared" si="3"/>
        <v>2.97336</v>
      </c>
      <c r="M9" s="30">
        <f t="shared" si="4"/>
        <v>1.7563789999999999</v>
      </c>
      <c r="N9" s="30">
        <f t="shared" si="5"/>
        <v>3.3050039999999998</v>
      </c>
      <c r="O9" s="30">
        <f t="shared" si="6"/>
        <v>8.0347430000000006</v>
      </c>
      <c r="P9" s="30">
        <f t="shared" si="7"/>
        <v>6180.5715385000003</v>
      </c>
      <c r="Q9" s="30">
        <f t="shared" si="8"/>
        <v>8034.7430000000004</v>
      </c>
      <c r="R9" s="30">
        <f t="shared" si="9"/>
        <v>7107.6572692999998</v>
      </c>
      <c r="S9" s="16">
        <v>61.495927810514956</v>
      </c>
      <c r="T9" s="16">
        <f t="shared" si="10"/>
        <v>69.530670810514962</v>
      </c>
    </row>
    <row r="10" spans="1:20" x14ac:dyDescent="0.2">
      <c r="A10" s="6" t="s">
        <v>82</v>
      </c>
      <c r="B10" s="8">
        <v>69390</v>
      </c>
      <c r="C10" s="7">
        <v>55000</v>
      </c>
      <c r="D10" s="22">
        <v>26</v>
      </c>
      <c r="E10" s="24">
        <v>10</v>
      </c>
      <c r="F10" s="24">
        <v>64</v>
      </c>
      <c r="G10" s="30">
        <f t="shared" si="0"/>
        <v>14300</v>
      </c>
      <c r="H10" s="30">
        <f t="shared" si="1"/>
        <v>5500</v>
      </c>
      <c r="I10" s="30">
        <f t="shared" si="2"/>
        <v>35200</v>
      </c>
      <c r="J10" s="8"/>
      <c r="K10" s="30"/>
      <c r="L10" s="30">
        <f t="shared" si="3"/>
        <v>3.4319999999999999</v>
      </c>
      <c r="M10" s="30">
        <f t="shared" si="4"/>
        <v>0.53349999999999997</v>
      </c>
      <c r="N10" s="30">
        <f t="shared" si="5"/>
        <v>1.7951999999999999</v>
      </c>
      <c r="O10" s="30">
        <f t="shared" si="6"/>
        <v>5.7606999999999999</v>
      </c>
      <c r="P10" s="30">
        <f t="shared" si="7"/>
        <v>4431.3076922999999</v>
      </c>
      <c r="Q10" s="30">
        <f t="shared" si="8"/>
        <v>5760.7</v>
      </c>
      <c r="R10" s="30">
        <f t="shared" si="9"/>
        <v>5096.0038462000002</v>
      </c>
      <c r="S10" s="16">
        <v>36.309200084847632</v>
      </c>
      <c r="T10" s="16">
        <f t="shared" si="10"/>
        <v>42.069900084847632</v>
      </c>
    </row>
    <row r="11" spans="1:20" x14ac:dyDescent="0.2">
      <c r="A11" s="6" t="s">
        <v>90</v>
      </c>
      <c r="B11" s="8">
        <v>3631300</v>
      </c>
      <c r="C11" s="9">
        <v>3474100</v>
      </c>
      <c r="D11" s="22">
        <v>0</v>
      </c>
      <c r="E11" s="25">
        <v>6.7</v>
      </c>
      <c r="F11" s="25">
        <v>93.3</v>
      </c>
      <c r="G11" s="30">
        <f t="shared" si="0"/>
        <v>0</v>
      </c>
      <c r="H11" s="30">
        <f t="shared" si="1"/>
        <v>232764.7</v>
      </c>
      <c r="I11" s="30">
        <f t="shared" si="2"/>
        <v>3241335.3</v>
      </c>
      <c r="J11" s="8">
        <v>183</v>
      </c>
      <c r="K11" s="30"/>
      <c r="L11" s="30">
        <f t="shared" si="3"/>
        <v>0</v>
      </c>
      <c r="M11" s="30">
        <f t="shared" si="4"/>
        <v>22.578175900000002</v>
      </c>
      <c r="N11" s="30">
        <f t="shared" si="5"/>
        <v>165.30810030000001</v>
      </c>
      <c r="O11" s="30">
        <f t="shared" si="6"/>
        <v>187.8862762</v>
      </c>
      <c r="P11" s="30">
        <f t="shared" si="7"/>
        <v>144527.90476919999</v>
      </c>
      <c r="Q11" s="30">
        <f t="shared" si="8"/>
        <v>187886.27619999999</v>
      </c>
      <c r="R11" s="30">
        <f t="shared" si="9"/>
        <v>166207.09048459999</v>
      </c>
      <c r="S11" s="16">
        <v>1900.1239122079146</v>
      </c>
      <c r="T11" s="16">
        <f t="shared" si="10"/>
        <v>2088.0101884079145</v>
      </c>
    </row>
    <row r="12" spans="1:20" x14ac:dyDescent="0.2">
      <c r="A12" s="6" t="s">
        <v>107</v>
      </c>
      <c r="B12" s="8">
        <v>7870000</v>
      </c>
      <c r="C12" s="7"/>
      <c r="D12" s="19">
        <v>2.7</v>
      </c>
      <c r="E12" s="19">
        <v>32</v>
      </c>
      <c r="F12" s="19">
        <v>65.3</v>
      </c>
      <c r="G12" s="30">
        <f>ROUND(D12/100*B12,2)</f>
        <v>212490</v>
      </c>
      <c r="H12" s="30">
        <f>ROUND(E12/100*B12,2)</f>
        <v>2518400</v>
      </c>
      <c r="I12" s="30">
        <f>ROUND(F12/100*B12,2)</f>
        <v>5139110</v>
      </c>
      <c r="J12" s="8"/>
      <c r="K12" s="30"/>
      <c r="L12" s="30">
        <f t="shared" si="3"/>
        <v>50.997599999999998</v>
      </c>
      <c r="M12" s="30">
        <f t="shared" si="4"/>
        <v>244.28479999999999</v>
      </c>
      <c r="N12" s="30">
        <f t="shared" si="5"/>
        <v>262.09460999999999</v>
      </c>
      <c r="O12" s="30">
        <f t="shared" si="6"/>
        <v>557.37701000000004</v>
      </c>
      <c r="P12" s="30">
        <f t="shared" si="7"/>
        <v>428751.54615379998</v>
      </c>
      <c r="Q12" s="30">
        <f t="shared" si="8"/>
        <v>557377.01</v>
      </c>
      <c r="R12" s="30">
        <f t="shared" si="9"/>
        <v>493064.27807689999</v>
      </c>
      <c r="S12" s="16">
        <v>4118.0776000540545</v>
      </c>
      <c r="T12" s="16">
        <f t="shared" si="10"/>
        <v>4675.4546100540547</v>
      </c>
    </row>
    <row r="13" spans="1:20" x14ac:dyDescent="0.2">
      <c r="A13" s="6" t="s">
        <v>112</v>
      </c>
      <c r="B13" s="8">
        <v>3690000</v>
      </c>
      <c r="C13" s="7">
        <v>2740500</v>
      </c>
      <c r="D13" s="22">
        <v>76</v>
      </c>
      <c r="E13" s="24">
        <v>7</v>
      </c>
      <c r="F13" s="24">
        <v>17</v>
      </c>
      <c r="G13" s="30">
        <f t="shared" ref="G13:G15" si="11">ROUND(D13/100*C13,2)</f>
        <v>2082780</v>
      </c>
      <c r="H13" s="30">
        <f t="shared" ref="H13:H15" si="12">ROUND(E13/100*C13,2)</f>
        <v>191835</v>
      </c>
      <c r="I13" s="30">
        <f t="shared" ref="I13:I15" si="13">ROUND(F13/100*C13,2)</f>
        <v>465885</v>
      </c>
      <c r="J13" s="8"/>
      <c r="K13" s="8"/>
      <c r="L13" s="30">
        <f t="shared" si="3"/>
        <v>499.86720000000003</v>
      </c>
      <c r="M13" s="30">
        <f t="shared" si="4"/>
        <v>18.607994999999999</v>
      </c>
      <c r="N13" s="30">
        <f t="shared" si="5"/>
        <v>23.760134999999998</v>
      </c>
      <c r="O13" s="30">
        <f t="shared" si="6"/>
        <v>542.23532999999998</v>
      </c>
      <c r="P13" s="30">
        <f t="shared" si="7"/>
        <v>417104.1</v>
      </c>
      <c r="Q13" s="30">
        <f t="shared" si="8"/>
        <v>542235.32999999996</v>
      </c>
      <c r="R13" s="30">
        <f t="shared" si="9"/>
        <v>479669.71500000003</v>
      </c>
      <c r="S13" s="16">
        <v>1930.8394338245819</v>
      </c>
      <c r="T13" s="16">
        <f t="shared" si="10"/>
        <v>2473.0747638245821</v>
      </c>
    </row>
    <row r="14" spans="1:20" x14ac:dyDescent="0.2">
      <c r="A14" s="6" t="s">
        <v>121</v>
      </c>
      <c r="B14" s="8">
        <v>327600</v>
      </c>
      <c r="C14" s="9">
        <v>318300</v>
      </c>
      <c r="D14" s="19">
        <v>0.2</v>
      </c>
      <c r="E14" s="19">
        <v>13.7</v>
      </c>
      <c r="F14" s="19">
        <v>86.1</v>
      </c>
      <c r="G14" s="30">
        <f t="shared" si="11"/>
        <v>636.6</v>
      </c>
      <c r="H14" s="30">
        <f t="shared" si="12"/>
        <v>43607.1</v>
      </c>
      <c r="I14" s="30">
        <f t="shared" si="13"/>
        <v>274056.3</v>
      </c>
      <c r="J14" s="8">
        <v>12</v>
      </c>
      <c r="K14" s="8">
        <v>3759</v>
      </c>
      <c r="L14" s="30">
        <f t="shared" si="3"/>
        <v>0.152784</v>
      </c>
      <c r="M14" s="30">
        <f t="shared" si="4"/>
        <v>4.2298887000000001</v>
      </c>
      <c r="N14" s="30">
        <f t="shared" si="5"/>
        <v>13.976871300000001</v>
      </c>
      <c r="O14" s="30">
        <f t="shared" si="6"/>
        <v>18.359544</v>
      </c>
      <c r="P14" s="30">
        <f t="shared" si="7"/>
        <v>14122.7261538</v>
      </c>
      <c r="Q14" s="30">
        <f t="shared" si="8"/>
        <v>18359.544000000002</v>
      </c>
      <c r="R14" s="30">
        <f t="shared" si="9"/>
        <v>16241.1350769</v>
      </c>
      <c r="S14" s="16">
        <v>171.42086680784095</v>
      </c>
      <c r="T14" s="16">
        <f t="shared" si="10"/>
        <v>189.78041080784095</v>
      </c>
    </row>
    <row r="15" spans="1:20" x14ac:dyDescent="0.2">
      <c r="A15" s="6" t="s">
        <v>125</v>
      </c>
      <c r="B15" s="8">
        <v>12172600</v>
      </c>
      <c r="C15" s="9">
        <v>11776800</v>
      </c>
      <c r="D15" s="19">
        <v>11.1</v>
      </c>
      <c r="E15" s="19">
        <v>36</v>
      </c>
      <c r="F15" s="19">
        <v>53.5</v>
      </c>
      <c r="G15" s="30">
        <f t="shared" si="11"/>
        <v>1307224.8</v>
      </c>
      <c r="H15" s="30">
        <f t="shared" si="12"/>
        <v>4239648</v>
      </c>
      <c r="I15" s="30">
        <f t="shared" si="13"/>
        <v>6300588</v>
      </c>
      <c r="J15" s="8"/>
      <c r="K15" s="8"/>
      <c r="L15" s="30">
        <f t="shared" si="3"/>
        <v>313.73395199999999</v>
      </c>
      <c r="M15" s="30">
        <f t="shared" si="4"/>
        <v>411.245856</v>
      </c>
      <c r="N15" s="30">
        <f t="shared" si="5"/>
        <v>321.32998800000001</v>
      </c>
      <c r="O15" s="30">
        <f t="shared" si="6"/>
        <v>1046.309796</v>
      </c>
      <c r="P15" s="30">
        <f t="shared" si="7"/>
        <v>804853.68923080002</v>
      </c>
      <c r="Q15" s="30">
        <f t="shared" si="8"/>
        <v>1046309.796</v>
      </c>
      <c r="R15" s="30">
        <f t="shared" si="9"/>
        <v>925581.7426154</v>
      </c>
      <c r="S15" s="16">
        <v>6369.4677756566689</v>
      </c>
      <c r="T15" s="16">
        <f t="shared" si="10"/>
        <v>7415.7775716566684</v>
      </c>
    </row>
    <row r="16" spans="1:20" x14ac:dyDescent="0.2">
      <c r="A16" s="6" t="s">
        <v>129</v>
      </c>
      <c r="B16" s="8">
        <v>10480</v>
      </c>
      <c r="C16" s="7"/>
      <c r="D16" s="19">
        <v>11</v>
      </c>
      <c r="E16" s="19">
        <v>16.3</v>
      </c>
      <c r="F16" s="19">
        <v>72.7</v>
      </c>
      <c r="G16" s="30">
        <f t="shared" ref="G16:G17" si="14">ROUND(D16/100*B16,2)</f>
        <v>1152.8</v>
      </c>
      <c r="H16" s="30">
        <f t="shared" ref="H16:H17" si="15">ROUND(E16/100*B16,2)</f>
        <v>1708.24</v>
      </c>
      <c r="I16" s="30">
        <f t="shared" ref="I16:I17" si="16">ROUND(F16/100*B16,2)</f>
        <v>7618.96</v>
      </c>
      <c r="J16" s="8"/>
      <c r="K16" s="30"/>
      <c r="L16" s="30">
        <f t="shared" si="3"/>
        <v>0.27667199999999997</v>
      </c>
      <c r="M16" s="30">
        <f t="shared" si="4"/>
        <v>0.16569929999999999</v>
      </c>
      <c r="N16" s="30">
        <f t="shared" si="5"/>
        <v>0.388567</v>
      </c>
      <c r="O16" s="30">
        <f t="shared" si="6"/>
        <v>0.83093830000000002</v>
      </c>
      <c r="P16" s="30">
        <f t="shared" si="7"/>
        <v>639.1833077</v>
      </c>
      <c r="Q16" s="30">
        <f t="shared" si="8"/>
        <v>830.93830000000003</v>
      </c>
      <c r="R16" s="30">
        <f t="shared" si="9"/>
        <v>735.0608039</v>
      </c>
      <c r="S16" s="16">
        <v>5.4837932971494903</v>
      </c>
      <c r="T16" s="16">
        <f t="shared" si="10"/>
        <v>6.31473159714949</v>
      </c>
    </row>
    <row r="17" spans="1:20" x14ac:dyDescent="0.2">
      <c r="A17" s="6" t="s">
        <v>135</v>
      </c>
      <c r="B17" s="8">
        <v>15920</v>
      </c>
      <c r="C17" s="7"/>
      <c r="D17" s="19">
        <v>0.9</v>
      </c>
      <c r="E17" s="19">
        <v>20.6</v>
      </c>
      <c r="F17" s="19">
        <v>78.5</v>
      </c>
      <c r="G17" s="30">
        <f t="shared" si="14"/>
        <v>143.28</v>
      </c>
      <c r="H17" s="30">
        <f t="shared" si="15"/>
        <v>3279.52</v>
      </c>
      <c r="I17" s="30">
        <f t="shared" si="16"/>
        <v>12497.2</v>
      </c>
      <c r="J17" s="8"/>
      <c r="K17" s="30"/>
      <c r="L17" s="30">
        <f t="shared" si="3"/>
        <v>3.43872E-2</v>
      </c>
      <c r="M17" s="30">
        <f t="shared" si="4"/>
        <v>0.31811339999999999</v>
      </c>
      <c r="N17" s="30">
        <f t="shared" si="5"/>
        <v>0.63735719999999996</v>
      </c>
      <c r="O17" s="30">
        <f t="shared" si="6"/>
        <v>0.98985780000000001</v>
      </c>
      <c r="P17" s="30">
        <f t="shared" si="7"/>
        <v>761.42907690000004</v>
      </c>
      <c r="Q17" s="30">
        <f t="shared" si="8"/>
        <v>989.8578</v>
      </c>
      <c r="R17" s="30">
        <f t="shared" si="9"/>
        <v>875.6434385</v>
      </c>
      <c r="S17" s="16">
        <v>8.3303424895629661</v>
      </c>
      <c r="T17" s="16">
        <f t="shared" si="10"/>
        <v>9.3202002895629654</v>
      </c>
    </row>
    <row r="18" spans="1:20" x14ac:dyDescent="0.2">
      <c r="A18" s="6" t="s">
        <v>138</v>
      </c>
      <c r="B18" s="8">
        <v>1147100</v>
      </c>
      <c r="C18" s="10">
        <v>1033700</v>
      </c>
      <c r="D18" s="19">
        <v>33</v>
      </c>
      <c r="E18" s="19">
        <v>10.6</v>
      </c>
      <c r="F18" s="19">
        <v>56.4</v>
      </c>
      <c r="G18" s="30">
        <f>ROUND(D18/100*C18,2)</f>
        <v>341121</v>
      </c>
      <c r="H18" s="30">
        <f>ROUND(E18/100*C18,2)</f>
        <v>109572.2</v>
      </c>
      <c r="I18" s="30">
        <f>ROUND(F18/100*C18,2)</f>
        <v>583006.80000000005</v>
      </c>
      <c r="J18" s="8"/>
      <c r="K18" s="30"/>
      <c r="L18" s="30">
        <f t="shared" si="3"/>
        <v>81.869039999999998</v>
      </c>
      <c r="M18" s="30">
        <f t="shared" si="4"/>
        <v>10.6285034</v>
      </c>
      <c r="N18" s="30">
        <f t="shared" si="5"/>
        <v>29.7333468</v>
      </c>
      <c r="O18" s="30">
        <f t="shared" si="6"/>
        <v>122.2308902</v>
      </c>
      <c r="P18" s="30">
        <f t="shared" si="7"/>
        <v>94023.761692300002</v>
      </c>
      <c r="Q18" s="30">
        <f t="shared" si="8"/>
        <v>122230.89019999999</v>
      </c>
      <c r="R18" s="30">
        <f t="shared" si="9"/>
        <v>108127.3259462</v>
      </c>
      <c r="S18" s="16">
        <v>600.23466518704015</v>
      </c>
      <c r="T18" s="16">
        <f t="shared" si="10"/>
        <v>722.46555538704013</v>
      </c>
    </row>
    <row r="19" spans="1:20" x14ac:dyDescent="0.2">
      <c r="A19" s="6" t="s">
        <v>145</v>
      </c>
      <c r="B19" s="7"/>
      <c r="C19" s="7">
        <v>2883</v>
      </c>
      <c r="D19" s="25"/>
      <c r="E19" s="136"/>
      <c r="F19" s="136"/>
      <c r="G19" s="30"/>
      <c r="H19" s="30"/>
      <c r="I19" s="30"/>
      <c r="J19" s="8"/>
      <c r="K19" s="30"/>
      <c r="L19" s="30"/>
      <c r="M19" s="30"/>
      <c r="N19" s="30"/>
      <c r="O19" s="30"/>
      <c r="P19" s="30"/>
      <c r="Q19" s="30"/>
      <c r="R19" s="30"/>
      <c r="S19" s="16">
        <v>1.5085664194353037</v>
      </c>
      <c r="T19" s="16">
        <f t="shared" si="10"/>
        <v>1.5085664194353037</v>
      </c>
    </row>
    <row r="20" spans="1:20" x14ac:dyDescent="0.2">
      <c r="A20" s="6" t="s">
        <v>149</v>
      </c>
      <c r="B20" s="8">
        <v>106400</v>
      </c>
      <c r="C20" s="7">
        <v>95500</v>
      </c>
      <c r="D20" s="19">
        <v>3.9</v>
      </c>
      <c r="E20" s="19">
        <v>32.799999999999997</v>
      </c>
      <c r="F20" s="19">
        <v>63.3</v>
      </c>
      <c r="G20" s="30">
        <f>ROUND(D20/100*C20,2)</f>
        <v>3724.5</v>
      </c>
      <c r="H20" s="30">
        <f>ROUND(E20/100*C20,2)</f>
        <v>31324</v>
      </c>
      <c r="I20" s="30">
        <f>ROUND(F20/100*C20,2)</f>
        <v>60451.5</v>
      </c>
      <c r="J20" s="8"/>
      <c r="K20" s="30"/>
      <c r="L20" s="30">
        <f t="shared" ref="L20:L28" si="17">ROUND(24*G20/100000,7)</f>
        <v>0.89388000000000001</v>
      </c>
      <c r="M20" s="30">
        <f t="shared" ref="M20:M28" si="18">ROUND(9.7*H20/100000,7)</f>
        <v>3.0384280000000001</v>
      </c>
      <c r="N20" s="30">
        <f t="shared" si="5"/>
        <v>3.0830264999999999</v>
      </c>
      <c r="O20" s="30">
        <f t="shared" ref="O20:O28" si="19">ROUND(SUM(L20:N20),7)</f>
        <v>7.0153344999999998</v>
      </c>
      <c r="P20" s="30">
        <f t="shared" ref="P20:P29" si="20">ROUND(O20*100/0.13,7)</f>
        <v>5396.4111537999997</v>
      </c>
      <c r="Q20" s="30">
        <f t="shared" ref="Q20:Q29" si="21">ROUND(O20*100/0.1,7)</f>
        <v>7015.3344999999999</v>
      </c>
      <c r="R20" s="30">
        <f t="shared" ref="R20:R29" si="22">ROUND((P20+Q20)/2,7)</f>
        <v>6205.8728269000003</v>
      </c>
      <c r="S20" s="16">
        <v>55.67515332220475</v>
      </c>
      <c r="T20" s="16">
        <f t="shared" si="10"/>
        <v>62.690487822204751</v>
      </c>
    </row>
    <row r="21" spans="1:20" x14ac:dyDescent="0.2">
      <c r="A21" s="6" t="s">
        <v>154</v>
      </c>
      <c r="B21" s="7">
        <v>1000</v>
      </c>
      <c r="C21" s="7">
        <v>700</v>
      </c>
      <c r="D21" s="27">
        <v>0</v>
      </c>
      <c r="E21" s="27">
        <v>0</v>
      </c>
      <c r="F21" s="27">
        <v>100</v>
      </c>
      <c r="G21" s="30">
        <f>D21/100*C21</f>
        <v>0</v>
      </c>
      <c r="H21" s="30">
        <f>E21/100*C21</f>
        <v>0</v>
      </c>
      <c r="I21" s="30">
        <f>F21/100*C21</f>
        <v>700</v>
      </c>
      <c r="J21" s="8"/>
      <c r="K21" s="30"/>
      <c r="L21" s="30">
        <f t="shared" si="17"/>
        <v>0</v>
      </c>
      <c r="M21" s="30">
        <f t="shared" si="18"/>
        <v>0</v>
      </c>
      <c r="N21" s="30">
        <f t="shared" si="5"/>
        <v>3.5700000000000003E-2</v>
      </c>
      <c r="O21" s="30">
        <f t="shared" si="19"/>
        <v>3.5700000000000003E-2</v>
      </c>
      <c r="P21" s="30">
        <f t="shared" si="20"/>
        <v>27.4615385</v>
      </c>
      <c r="Q21" s="30">
        <f t="shared" si="21"/>
        <v>35.700000000000003</v>
      </c>
      <c r="R21" s="30">
        <f t="shared" si="22"/>
        <v>31.5807693</v>
      </c>
      <c r="S21" s="16">
        <v>0.52326271919365364</v>
      </c>
      <c r="T21" s="16">
        <f t="shared" si="10"/>
        <v>0.55896271919365359</v>
      </c>
    </row>
    <row r="22" spans="1:20" x14ac:dyDescent="0.2">
      <c r="A22" s="6" t="s">
        <v>155</v>
      </c>
      <c r="B22" s="8">
        <v>1100</v>
      </c>
      <c r="C22" s="7"/>
      <c r="D22" s="19">
        <v>6</v>
      </c>
      <c r="E22" s="19">
        <v>14</v>
      </c>
      <c r="F22" s="19">
        <v>80</v>
      </c>
      <c r="G22" s="30">
        <f>ROUND(D22/100*B22,2)</f>
        <v>66</v>
      </c>
      <c r="H22" s="30">
        <f>ROUND(E22/100*B22,2)</f>
        <v>154</v>
      </c>
      <c r="I22" s="30">
        <f>ROUND(F22/100*B22,2)</f>
        <v>880</v>
      </c>
      <c r="J22" s="8"/>
      <c r="K22" s="30"/>
      <c r="L22" s="30">
        <f t="shared" si="17"/>
        <v>1.584E-2</v>
      </c>
      <c r="M22" s="30">
        <f t="shared" si="18"/>
        <v>1.4938E-2</v>
      </c>
      <c r="N22" s="30">
        <f t="shared" si="5"/>
        <v>4.4880000000000003E-2</v>
      </c>
      <c r="O22" s="30">
        <f t="shared" si="19"/>
        <v>7.5658000000000003E-2</v>
      </c>
      <c r="P22" s="30">
        <f t="shared" si="20"/>
        <v>58.198461500000001</v>
      </c>
      <c r="Q22" s="30">
        <f t="shared" si="21"/>
        <v>75.658000000000001</v>
      </c>
      <c r="R22" s="30">
        <f t="shared" si="22"/>
        <v>66.928230799999994</v>
      </c>
      <c r="S22" s="16">
        <v>0.57558899111301909</v>
      </c>
      <c r="T22" s="16">
        <f t="shared" si="10"/>
        <v>0.65124699111301909</v>
      </c>
    </row>
    <row r="23" spans="1:20" x14ac:dyDescent="0.2">
      <c r="A23" s="6" t="s">
        <v>156</v>
      </c>
      <c r="B23" s="7">
        <v>38500</v>
      </c>
      <c r="C23" s="7">
        <v>35200</v>
      </c>
      <c r="D23" s="19">
        <v>1.9</v>
      </c>
      <c r="E23" s="19">
        <v>10</v>
      </c>
      <c r="F23" s="19">
        <v>88.1</v>
      </c>
      <c r="G23" s="30">
        <f t="shared" ref="G23:G24" si="23">ROUND(D23/100*C23,2)</f>
        <v>668.8</v>
      </c>
      <c r="H23" s="30">
        <f t="shared" ref="H23:H24" si="24">ROUND(E23/100*C23,2)</f>
        <v>3520</v>
      </c>
      <c r="I23" s="30">
        <f t="shared" ref="I23:I24" si="25">ROUND(F23/100*C23,2)</f>
        <v>31011.200000000001</v>
      </c>
      <c r="J23" s="8"/>
      <c r="K23" s="30"/>
      <c r="L23" s="30">
        <f t="shared" si="17"/>
        <v>0.16051199999999999</v>
      </c>
      <c r="M23" s="30">
        <f t="shared" si="18"/>
        <v>0.34144000000000002</v>
      </c>
      <c r="N23" s="30">
        <f t="shared" si="5"/>
        <v>1.5815712</v>
      </c>
      <c r="O23" s="30">
        <f t="shared" si="19"/>
        <v>2.0835232000000001</v>
      </c>
      <c r="P23" s="30">
        <f t="shared" si="20"/>
        <v>1602.7101537999999</v>
      </c>
      <c r="Q23" s="30">
        <f t="shared" si="21"/>
        <v>2083.5232000000001</v>
      </c>
      <c r="R23" s="30">
        <f t="shared" si="22"/>
        <v>1843.1166768999999</v>
      </c>
      <c r="S23" s="16">
        <v>20.145614688955668</v>
      </c>
      <c r="T23" s="16">
        <f t="shared" si="10"/>
        <v>22.22913788895567</v>
      </c>
    </row>
    <row r="24" spans="1:20" x14ac:dyDescent="0.2">
      <c r="A24" s="6" t="s">
        <v>160</v>
      </c>
      <c r="B24" s="8">
        <v>13300</v>
      </c>
      <c r="C24" s="7">
        <v>9400</v>
      </c>
      <c r="D24" s="19">
        <v>1.7</v>
      </c>
      <c r="E24" s="27">
        <v>12.1</v>
      </c>
      <c r="F24" s="27">
        <v>86.2</v>
      </c>
      <c r="G24" s="30">
        <f t="shared" si="23"/>
        <v>159.80000000000001</v>
      </c>
      <c r="H24" s="30">
        <f t="shared" si="24"/>
        <v>1137.4000000000001</v>
      </c>
      <c r="I24" s="30">
        <f t="shared" si="25"/>
        <v>8102.8</v>
      </c>
      <c r="J24" s="8"/>
      <c r="K24" s="30"/>
      <c r="L24" s="30">
        <f t="shared" si="17"/>
        <v>3.8351999999999997E-2</v>
      </c>
      <c r="M24" s="30">
        <f t="shared" si="18"/>
        <v>0.1103278</v>
      </c>
      <c r="N24" s="30">
        <f t="shared" si="5"/>
        <v>0.41324280000000002</v>
      </c>
      <c r="O24" s="30">
        <f t="shared" si="19"/>
        <v>0.56192260000000005</v>
      </c>
      <c r="P24" s="30">
        <f t="shared" si="20"/>
        <v>432.24815380000001</v>
      </c>
      <c r="Q24" s="30">
        <f t="shared" si="21"/>
        <v>561.92259999999999</v>
      </c>
      <c r="R24" s="30">
        <f t="shared" si="22"/>
        <v>497.08537690000003</v>
      </c>
      <c r="S24" s="16">
        <v>6.9593941652755937</v>
      </c>
      <c r="T24" s="16">
        <f t="shared" si="10"/>
        <v>7.5213167652755937</v>
      </c>
    </row>
    <row r="25" spans="1:20" x14ac:dyDescent="0.2">
      <c r="A25" s="6" t="s">
        <v>162</v>
      </c>
      <c r="B25" s="8">
        <v>3809000</v>
      </c>
      <c r="C25" s="7"/>
      <c r="D25" s="22">
        <v>70.3</v>
      </c>
      <c r="E25" s="24">
        <v>3.5000000000000004</v>
      </c>
      <c r="F25" s="24">
        <v>26.200000000000003</v>
      </c>
      <c r="G25" s="30">
        <f>ROUND(D25/100*B25,2)</f>
        <v>2677727</v>
      </c>
      <c r="H25" s="30">
        <f>ROUND(E25/100*B25,2)</f>
        <v>133315</v>
      </c>
      <c r="I25" s="30">
        <f>ROUND(F25/100*B25,2)</f>
        <v>997958</v>
      </c>
      <c r="J25" s="8"/>
      <c r="K25" s="30"/>
      <c r="L25" s="30">
        <f t="shared" si="17"/>
        <v>642.65448000000004</v>
      </c>
      <c r="M25" s="30">
        <f t="shared" si="18"/>
        <v>12.931554999999999</v>
      </c>
      <c r="N25" s="30">
        <f t="shared" si="5"/>
        <v>50.895857999999997</v>
      </c>
      <c r="O25" s="30">
        <f t="shared" si="19"/>
        <v>706.48189300000001</v>
      </c>
      <c r="P25" s="30">
        <f t="shared" si="20"/>
        <v>543447.61</v>
      </c>
      <c r="Q25" s="30">
        <f t="shared" si="21"/>
        <v>706481.89300000004</v>
      </c>
      <c r="R25" s="30">
        <f t="shared" si="22"/>
        <v>624964.75150000001</v>
      </c>
      <c r="S25" s="16">
        <v>1993.1076974086268</v>
      </c>
      <c r="T25" s="16">
        <f t="shared" si="10"/>
        <v>2699.5895904086269</v>
      </c>
    </row>
    <row r="26" spans="1:20" x14ac:dyDescent="0.2">
      <c r="A26" s="6" t="s">
        <v>165</v>
      </c>
      <c r="B26" s="8">
        <v>38893000</v>
      </c>
      <c r="C26" s="9">
        <v>36035000</v>
      </c>
      <c r="D26" s="19">
        <v>33.200000000000003</v>
      </c>
      <c r="E26" s="19">
        <v>15</v>
      </c>
      <c r="F26" s="19">
        <v>51.8</v>
      </c>
      <c r="G26" s="30">
        <f t="shared" ref="G26:G27" si="26">ROUND(D26/100*C26,2)</f>
        <v>11963620</v>
      </c>
      <c r="H26" s="30">
        <f t="shared" ref="H26:H27" si="27">ROUND(E26/100*C26,2)</f>
        <v>5405250</v>
      </c>
      <c r="I26" s="30">
        <f t="shared" ref="I26:I27" si="28">ROUND(F26/100*C26,2)</f>
        <v>18666130</v>
      </c>
      <c r="J26" s="8"/>
      <c r="K26" s="30"/>
      <c r="L26" s="30">
        <f t="shared" si="17"/>
        <v>2871.2687999999998</v>
      </c>
      <c r="M26" s="30">
        <f t="shared" si="18"/>
        <v>524.30925000000002</v>
      </c>
      <c r="N26" s="30">
        <f t="shared" si="5"/>
        <v>951.97262999999998</v>
      </c>
      <c r="O26" s="30">
        <f t="shared" si="19"/>
        <v>4347.5506800000003</v>
      </c>
      <c r="P26" s="30">
        <f t="shared" si="20"/>
        <v>3344269.7538462002</v>
      </c>
      <c r="Q26" s="30">
        <f t="shared" si="21"/>
        <v>4347550.68</v>
      </c>
      <c r="R26" s="30">
        <f t="shared" si="22"/>
        <v>3845910.2169230999</v>
      </c>
      <c r="S26" s="16">
        <v>20351.256937598773</v>
      </c>
      <c r="T26" s="16">
        <f t="shared" si="10"/>
        <v>24698.807617598774</v>
      </c>
    </row>
    <row r="27" spans="1:20" x14ac:dyDescent="0.2">
      <c r="A27" s="6" t="s">
        <v>179</v>
      </c>
      <c r="B27" s="7">
        <v>70044</v>
      </c>
      <c r="C27" s="7">
        <v>50300</v>
      </c>
      <c r="D27" s="25">
        <v>40.6</v>
      </c>
      <c r="E27" s="27">
        <v>20</v>
      </c>
      <c r="F27" s="27">
        <v>39.4</v>
      </c>
      <c r="G27" s="30">
        <f t="shared" si="26"/>
        <v>20421.8</v>
      </c>
      <c r="H27" s="30">
        <f t="shared" si="27"/>
        <v>10060</v>
      </c>
      <c r="I27" s="30">
        <f t="shared" si="28"/>
        <v>19818.2</v>
      </c>
      <c r="J27" s="8"/>
      <c r="K27" s="30"/>
      <c r="L27" s="30">
        <f t="shared" si="17"/>
        <v>4.9012320000000003</v>
      </c>
      <c r="M27" s="30">
        <f t="shared" si="18"/>
        <v>0.97582000000000002</v>
      </c>
      <c r="N27" s="30">
        <f t="shared" si="5"/>
        <v>1.0107282</v>
      </c>
      <c r="O27" s="30">
        <f t="shared" si="19"/>
        <v>6.8877801999999999</v>
      </c>
      <c r="P27" s="30">
        <f t="shared" si="20"/>
        <v>5298.2924615000002</v>
      </c>
      <c r="Q27" s="30">
        <f t="shared" si="21"/>
        <v>6887.7802000000001</v>
      </c>
      <c r="R27" s="30">
        <f t="shared" si="22"/>
        <v>6093.0363307999996</v>
      </c>
      <c r="S27" s="16">
        <v>36.651413903200279</v>
      </c>
      <c r="T27" s="16">
        <f t="shared" si="10"/>
        <v>43.53919410320028</v>
      </c>
    </row>
    <row r="28" spans="1:20" x14ac:dyDescent="0.2">
      <c r="A28" s="6" t="s">
        <v>190</v>
      </c>
      <c r="B28" s="7">
        <v>208660</v>
      </c>
      <c r="C28" s="7"/>
      <c r="D28" s="19">
        <v>75</v>
      </c>
      <c r="E28" s="19">
        <v>5</v>
      </c>
      <c r="F28" s="19">
        <v>20</v>
      </c>
      <c r="G28" s="30">
        <f>ROUND(D28/100*B28,2)</f>
        <v>156495</v>
      </c>
      <c r="H28" s="30">
        <f>ROUND(E28/100*B28,2)</f>
        <v>10433</v>
      </c>
      <c r="I28" s="30">
        <f>ROUND(F28/100*B28,2)</f>
        <v>41732</v>
      </c>
      <c r="J28" s="8"/>
      <c r="K28" s="30"/>
      <c r="L28" s="30">
        <f t="shared" si="17"/>
        <v>37.558799999999998</v>
      </c>
      <c r="M28" s="30">
        <f t="shared" si="18"/>
        <v>1.0120009999999999</v>
      </c>
      <c r="N28" s="30">
        <f t="shared" si="5"/>
        <v>2.1283319999999999</v>
      </c>
      <c r="O28" s="30">
        <f t="shared" si="19"/>
        <v>40.699133000000003</v>
      </c>
      <c r="P28" s="30">
        <f t="shared" si="20"/>
        <v>31307.025384600001</v>
      </c>
      <c r="Q28" s="30">
        <f t="shared" si="21"/>
        <v>40699.133000000002</v>
      </c>
      <c r="R28" s="30">
        <f t="shared" si="22"/>
        <v>36003.0791923</v>
      </c>
      <c r="S28" s="16">
        <v>109.18399898694777</v>
      </c>
      <c r="T28" s="16">
        <f t="shared" si="10"/>
        <v>149.88313198694777</v>
      </c>
    </row>
    <row r="29" spans="1:20" x14ac:dyDescent="0.2">
      <c r="A29" s="6" t="s">
        <v>201</v>
      </c>
      <c r="B29" s="8">
        <v>11030000</v>
      </c>
      <c r="C29" s="9">
        <v>10403000</v>
      </c>
      <c r="D29" s="19">
        <v>5</v>
      </c>
      <c r="E29" s="19">
        <v>36.200000000000003</v>
      </c>
      <c r="F29" s="19">
        <v>58.8</v>
      </c>
      <c r="G29" s="30">
        <f>ROUND(D29/100*C29,2)</f>
        <v>520150</v>
      </c>
      <c r="H29" s="30">
        <f>ROUND(E29/100*C29,2)</f>
        <v>3765886</v>
      </c>
      <c r="I29" s="30">
        <f>ROUND(F29/100*C29,2)</f>
        <v>6116964</v>
      </c>
      <c r="J29" s="8"/>
      <c r="K29" s="30"/>
      <c r="L29" s="30"/>
      <c r="M29" s="30"/>
      <c r="N29" s="30"/>
      <c r="O29" s="30">
        <v>313</v>
      </c>
      <c r="P29" s="30">
        <f t="shared" si="20"/>
        <v>240769.23076919999</v>
      </c>
      <c r="Q29" s="30">
        <f t="shared" si="21"/>
        <v>313000</v>
      </c>
      <c r="R29" s="30">
        <f t="shared" si="22"/>
        <v>276884.61538460001</v>
      </c>
      <c r="S29" s="16">
        <v>5771.5877927060001</v>
      </c>
      <c r="T29" s="16">
        <f t="shared" si="10"/>
        <v>6084.5877927060001</v>
      </c>
    </row>
    <row r="30" spans="1:20" x14ac:dyDescent="0.2">
      <c r="A30" s="6" t="s">
        <v>207</v>
      </c>
      <c r="B30" s="8">
        <v>440</v>
      </c>
      <c r="C30" s="7"/>
      <c r="D30" s="138"/>
      <c r="E30" s="136"/>
      <c r="F30" s="136"/>
      <c r="G30" s="30"/>
      <c r="H30" s="30"/>
      <c r="I30" s="30"/>
      <c r="J30" s="8"/>
      <c r="K30" s="30"/>
      <c r="L30" s="30"/>
      <c r="M30" s="30"/>
      <c r="N30" s="30"/>
      <c r="O30" s="30"/>
      <c r="P30" s="30"/>
      <c r="Q30" s="30"/>
      <c r="R30" s="30"/>
      <c r="S30" s="16">
        <v>0.23023559644520764</v>
      </c>
      <c r="T30" s="16">
        <f t="shared" si="10"/>
        <v>0.23023559644520764</v>
      </c>
    </row>
    <row r="31" spans="1:20" x14ac:dyDescent="0.2">
      <c r="A31" s="14" t="s">
        <v>208</v>
      </c>
      <c r="B31" s="7">
        <v>41786</v>
      </c>
      <c r="C31" s="7">
        <v>35300</v>
      </c>
      <c r="D31" s="22">
        <v>31.8</v>
      </c>
      <c r="E31" s="24">
        <v>30.599999999999998</v>
      </c>
      <c r="F31" s="24">
        <v>37.6</v>
      </c>
      <c r="G31" s="30">
        <f t="shared" ref="G31:G34" si="29">ROUND(D31/100*C31,2)</f>
        <v>11225.4</v>
      </c>
      <c r="H31" s="30">
        <f t="shared" ref="H31:H34" si="30">ROUND(E31/100*C31,2)</f>
        <v>10801.8</v>
      </c>
      <c r="I31" s="30">
        <f t="shared" ref="I31:I34" si="31">ROUND(F31/100*C31,2)</f>
        <v>13272.8</v>
      </c>
      <c r="J31" s="8"/>
      <c r="K31" s="30"/>
      <c r="L31" s="30">
        <f t="shared" ref="L31:L35" si="32">ROUND(24*G31/100000,7)</f>
        <v>2.694096</v>
      </c>
      <c r="M31" s="30">
        <f t="shared" ref="M31:M35" si="33">ROUND(9.7*H31/100000,7)</f>
        <v>1.0477745999999999</v>
      </c>
      <c r="N31" s="30">
        <f t="shared" si="5"/>
        <v>0.67691279999999998</v>
      </c>
      <c r="O31" s="30">
        <f t="shared" ref="O31:O35" si="34">ROUND(SUM(L31:N31),7)</f>
        <v>4.4187833999999997</v>
      </c>
      <c r="P31" s="30">
        <f t="shared" ref="P31:P35" si="35">ROUND(O31*100/0.13,7)</f>
        <v>3399.0641538</v>
      </c>
      <c r="Q31" s="30">
        <f t="shared" ref="Q31:Q35" si="36">ROUND(O31*100/0.1,7)</f>
        <v>4418.7834000000003</v>
      </c>
      <c r="R31" s="30">
        <f t="shared" ref="R31:R35" si="37">ROUND((P31+Q31)/2,7)</f>
        <v>3908.9237769000001</v>
      </c>
      <c r="S31" s="16">
        <v>21.865055984226014</v>
      </c>
      <c r="T31" s="16">
        <f t="shared" si="10"/>
        <v>26.283839384226013</v>
      </c>
    </row>
    <row r="32" spans="1:20" x14ac:dyDescent="0.2">
      <c r="A32" s="6" t="s">
        <v>214</v>
      </c>
      <c r="B32" s="8">
        <v>3615</v>
      </c>
      <c r="C32" s="7">
        <v>3300</v>
      </c>
      <c r="D32" s="22">
        <v>68</v>
      </c>
      <c r="E32" s="24">
        <v>6</v>
      </c>
      <c r="F32" s="24">
        <v>26</v>
      </c>
      <c r="G32" s="30">
        <f t="shared" si="29"/>
        <v>2244</v>
      </c>
      <c r="H32" s="30">
        <f t="shared" si="30"/>
        <v>198</v>
      </c>
      <c r="I32" s="30">
        <f t="shared" si="31"/>
        <v>858</v>
      </c>
      <c r="J32" s="8"/>
      <c r="K32" s="30"/>
      <c r="L32" s="30">
        <f t="shared" si="32"/>
        <v>0.53856000000000004</v>
      </c>
      <c r="M32" s="30">
        <f t="shared" si="33"/>
        <v>1.9206000000000001E-2</v>
      </c>
      <c r="N32" s="30">
        <f t="shared" si="5"/>
        <v>4.3757999999999998E-2</v>
      </c>
      <c r="O32" s="30">
        <f t="shared" si="34"/>
        <v>0.60152399999999995</v>
      </c>
      <c r="P32" s="30">
        <f t="shared" si="35"/>
        <v>462.71076920000002</v>
      </c>
      <c r="Q32" s="30">
        <f t="shared" si="36"/>
        <v>601.524</v>
      </c>
      <c r="R32" s="30">
        <f t="shared" si="37"/>
        <v>532.11738460000004</v>
      </c>
      <c r="S32" s="16">
        <v>1.8915947298850579</v>
      </c>
      <c r="T32" s="16">
        <f t="shared" si="10"/>
        <v>2.4931187298850581</v>
      </c>
    </row>
    <row r="33" spans="1:20" x14ac:dyDescent="0.2">
      <c r="A33" s="6" t="s">
        <v>222</v>
      </c>
      <c r="B33" s="7">
        <v>103099</v>
      </c>
      <c r="C33" s="7">
        <v>94500</v>
      </c>
      <c r="D33" s="19">
        <v>65</v>
      </c>
      <c r="E33" s="19">
        <v>5</v>
      </c>
      <c r="F33" s="19">
        <v>30</v>
      </c>
      <c r="G33" s="30">
        <f t="shared" si="29"/>
        <v>61425</v>
      </c>
      <c r="H33" s="30">
        <f t="shared" si="30"/>
        <v>4725</v>
      </c>
      <c r="I33" s="30">
        <f t="shared" si="31"/>
        <v>28350</v>
      </c>
      <c r="J33" s="8"/>
      <c r="K33" s="30"/>
      <c r="L33" s="30">
        <f t="shared" si="32"/>
        <v>14.742000000000001</v>
      </c>
      <c r="M33" s="30">
        <f t="shared" si="33"/>
        <v>0.45832499999999998</v>
      </c>
      <c r="N33" s="30">
        <f t="shared" si="5"/>
        <v>1.4458500000000001</v>
      </c>
      <c r="O33" s="30">
        <f t="shared" si="34"/>
        <v>16.646174999999999</v>
      </c>
      <c r="P33" s="30">
        <f t="shared" si="35"/>
        <v>12804.75</v>
      </c>
      <c r="Q33" s="30">
        <f t="shared" si="36"/>
        <v>16646.174999999999</v>
      </c>
      <c r="R33" s="30">
        <f t="shared" si="37"/>
        <v>14725.4625</v>
      </c>
      <c r="S33" s="16">
        <v>53.947863086146498</v>
      </c>
      <c r="T33" s="16">
        <f t="shared" si="10"/>
        <v>70.594038086146497</v>
      </c>
    </row>
    <row r="34" spans="1:20" x14ac:dyDescent="0.2">
      <c r="A34" s="6" t="s">
        <v>224</v>
      </c>
      <c r="B34" s="8">
        <v>47490000</v>
      </c>
      <c r="C34" s="7">
        <v>44915800</v>
      </c>
      <c r="D34" s="19">
        <v>48</v>
      </c>
      <c r="E34" s="19">
        <v>21</v>
      </c>
      <c r="F34" s="19">
        <v>31</v>
      </c>
      <c r="G34" s="30">
        <f t="shared" si="29"/>
        <v>21559584</v>
      </c>
      <c r="H34" s="30">
        <f t="shared" si="30"/>
        <v>9432318</v>
      </c>
      <c r="I34" s="30">
        <f t="shared" si="31"/>
        <v>13923898</v>
      </c>
      <c r="J34" s="8"/>
      <c r="K34" s="30"/>
      <c r="L34" s="30">
        <f t="shared" si="32"/>
        <v>5174.3001599999998</v>
      </c>
      <c r="M34" s="30">
        <f t="shared" si="33"/>
        <v>914.93484599999999</v>
      </c>
      <c r="N34" s="30">
        <f t="shared" si="5"/>
        <v>710.11879799999997</v>
      </c>
      <c r="O34" s="30">
        <f t="shared" si="34"/>
        <v>6799.3538040000003</v>
      </c>
      <c r="P34" s="30">
        <f t="shared" si="35"/>
        <v>5230272.1569231004</v>
      </c>
      <c r="Q34" s="30">
        <f t="shared" si="36"/>
        <v>6799353.8039999995</v>
      </c>
      <c r="R34" s="30">
        <f t="shared" si="37"/>
        <v>6014812.9804616002</v>
      </c>
      <c r="S34" s="16">
        <v>24849.746534506616</v>
      </c>
      <c r="T34" s="16">
        <f t="shared" si="10"/>
        <v>31649.100338506614</v>
      </c>
    </row>
    <row r="35" spans="1:20" x14ac:dyDescent="0.2">
      <c r="A35" s="6" t="s">
        <v>226</v>
      </c>
      <c r="B35" s="8">
        <v>3104</v>
      </c>
      <c r="C35" s="7"/>
      <c r="D35" s="19">
        <v>80</v>
      </c>
      <c r="E35" s="19">
        <v>4</v>
      </c>
      <c r="F35" s="19">
        <v>16</v>
      </c>
      <c r="G35" s="30">
        <f>ROUND(D35/100*B35,2)</f>
        <v>2483.1999999999998</v>
      </c>
      <c r="H35" s="30">
        <f>ROUND(E35/100*B35,2)</f>
        <v>124.16</v>
      </c>
      <c r="I35" s="30">
        <f>ROUND(F35/100*B35,2)</f>
        <v>496.64</v>
      </c>
      <c r="J35" s="8"/>
      <c r="K35" s="30"/>
      <c r="L35" s="30">
        <f t="shared" si="32"/>
        <v>0.59596800000000005</v>
      </c>
      <c r="M35" s="30">
        <f t="shared" si="33"/>
        <v>1.20435E-2</v>
      </c>
      <c r="N35" s="30">
        <f t="shared" si="5"/>
        <v>2.53286E-2</v>
      </c>
      <c r="O35" s="30">
        <f t="shared" si="34"/>
        <v>0.63334009999999996</v>
      </c>
      <c r="P35" s="30">
        <f t="shared" si="35"/>
        <v>487.18469229999999</v>
      </c>
      <c r="Q35" s="30">
        <f t="shared" si="36"/>
        <v>633.34010000000001</v>
      </c>
      <c r="R35" s="30">
        <f t="shared" si="37"/>
        <v>560.26239620000001</v>
      </c>
      <c r="S35" s="16">
        <v>1.6242074803771009</v>
      </c>
      <c r="T35" s="16">
        <f t="shared" si="10"/>
        <v>2.2575475803771008</v>
      </c>
    </row>
    <row r="36" spans="1:20" s="5" customFormat="1" x14ac:dyDescent="0.2">
      <c r="A36" s="32" t="s">
        <v>231</v>
      </c>
      <c r="B36" s="33">
        <f>SUM(B4:B35)</f>
        <v>923223849</v>
      </c>
      <c r="C36" s="33">
        <f>SUM(C4:C34)</f>
        <v>879108945</v>
      </c>
      <c r="D36" s="32"/>
      <c r="E36" s="32"/>
      <c r="F36" s="32"/>
      <c r="G36" s="33">
        <f>ROUND(SUM(G4:G35),2)</f>
        <v>309675870.86000001</v>
      </c>
      <c r="H36" s="33">
        <f>ROUND(SUM(H4:H35),2)</f>
        <v>251823188.97999999</v>
      </c>
      <c r="I36" s="33">
        <f>ROUND(SUM(I4:I35),2)</f>
        <v>329595926.95999998</v>
      </c>
      <c r="J36" s="33">
        <f>SUM(J11:J35)</f>
        <v>195</v>
      </c>
      <c r="K36" s="33">
        <f>SUM(K11:K35)</f>
        <v>3759</v>
      </c>
      <c r="L36" s="33">
        <f t="shared" ref="L36:R36" si="38">ROUND(SUM(L4:L35),7)</f>
        <v>74197.373006399997</v>
      </c>
      <c r="M36" s="33">
        <f t="shared" si="38"/>
        <v>24061.558389000002</v>
      </c>
      <c r="N36" s="33">
        <f t="shared" si="38"/>
        <v>16497.427111000001</v>
      </c>
      <c r="O36" s="33">
        <f t="shared" si="38"/>
        <v>115069.35850640001</v>
      </c>
      <c r="P36" s="33">
        <f t="shared" si="38"/>
        <v>88514891.158768907</v>
      </c>
      <c r="Q36" s="33">
        <f t="shared" si="38"/>
        <v>115069358.5064</v>
      </c>
      <c r="R36" s="33">
        <f t="shared" si="38"/>
        <v>101792124.83258501</v>
      </c>
      <c r="S36" s="31">
        <v>483100</v>
      </c>
      <c r="T36" s="31">
        <f t="shared" si="10"/>
        <v>598169.35850640002</v>
      </c>
    </row>
    <row r="37" spans="1:20" x14ac:dyDescent="0.2">
      <c r="G37" s="20"/>
      <c r="H37" s="20"/>
      <c r="I37" s="20"/>
    </row>
    <row r="38" spans="1:20" x14ac:dyDescent="0.2">
      <c r="G38" s="20"/>
      <c r="H38" s="20"/>
      <c r="I38" s="20"/>
      <c r="N38" s="16"/>
    </row>
    <row r="39" spans="1:20" x14ac:dyDescent="0.2">
      <c r="A39" s="1" t="s">
        <v>393</v>
      </c>
      <c r="G39" s="20"/>
      <c r="H39" s="20"/>
      <c r="I39" s="20"/>
    </row>
    <row r="40" spans="1:20" x14ac:dyDescent="0.2">
      <c r="G40" s="20"/>
      <c r="H40" s="20"/>
      <c r="I40" s="20"/>
    </row>
    <row r="41" spans="1:20" x14ac:dyDescent="0.2">
      <c r="G41" s="20"/>
      <c r="H41" s="20"/>
      <c r="I41" s="20"/>
    </row>
    <row r="42" spans="1:20" x14ac:dyDescent="0.2">
      <c r="G42" s="20"/>
      <c r="H42" s="20"/>
      <c r="I42" s="20"/>
    </row>
    <row r="43" spans="1:20" x14ac:dyDescent="0.2">
      <c r="G43" s="20"/>
      <c r="H43" s="20"/>
      <c r="I43" s="20"/>
    </row>
    <row r="44" spans="1:20" x14ac:dyDescent="0.2">
      <c r="D44" s="1"/>
      <c r="E44" s="1"/>
      <c r="F44" s="1"/>
      <c r="G44" s="20"/>
      <c r="H44" s="20"/>
      <c r="I44" s="20"/>
    </row>
    <row r="45" spans="1:20" x14ac:dyDescent="0.2">
      <c r="D45" s="1"/>
      <c r="E45" s="1"/>
      <c r="F45" s="1"/>
      <c r="G45" s="20"/>
      <c r="H45" s="20"/>
      <c r="I45" s="20"/>
    </row>
    <row r="46" spans="1:20" x14ac:dyDescent="0.2">
      <c r="D46" s="1"/>
      <c r="E46" s="1"/>
      <c r="F46" s="1"/>
      <c r="G46" s="20"/>
      <c r="H46" s="20"/>
      <c r="I46" s="20"/>
    </row>
    <row r="47" spans="1:20" x14ac:dyDescent="0.2">
      <c r="D47" s="1"/>
      <c r="E47" s="1"/>
      <c r="F47" s="1"/>
      <c r="G47" s="20"/>
      <c r="H47" s="20"/>
      <c r="I47" s="20"/>
    </row>
    <row r="48" spans="1:20" x14ac:dyDescent="0.2">
      <c r="D48" s="1"/>
      <c r="E48" s="1"/>
      <c r="F48" s="1"/>
      <c r="G48" s="20"/>
      <c r="H48" s="20"/>
      <c r="I48" s="20"/>
    </row>
    <row r="49" spans="4:9" x14ac:dyDescent="0.2">
      <c r="D49" s="1"/>
      <c r="E49" s="1"/>
      <c r="F49" s="1"/>
      <c r="G49" s="20"/>
      <c r="H49" s="20"/>
      <c r="I49" s="20"/>
    </row>
    <row r="50" spans="4:9" x14ac:dyDescent="0.2">
      <c r="D50" s="1"/>
      <c r="E50" s="1"/>
      <c r="F50" s="1"/>
      <c r="G50" s="20"/>
      <c r="H50" s="20"/>
      <c r="I50" s="20"/>
    </row>
    <row r="51" spans="4:9" x14ac:dyDescent="0.2">
      <c r="D51" s="1"/>
      <c r="E51" s="1"/>
      <c r="F51" s="1"/>
      <c r="G51" s="20"/>
      <c r="H51" s="20"/>
      <c r="I51" s="20"/>
    </row>
    <row r="52" spans="4:9" x14ac:dyDescent="0.2">
      <c r="D52" s="1"/>
      <c r="E52" s="1"/>
      <c r="F52" s="1"/>
      <c r="G52" s="20"/>
      <c r="H52" s="20"/>
      <c r="I52" s="20"/>
    </row>
    <row r="53" spans="4:9" x14ac:dyDescent="0.2">
      <c r="D53" s="1"/>
      <c r="E53" s="1"/>
      <c r="F53" s="1"/>
      <c r="G53" s="20"/>
      <c r="H53" s="20"/>
      <c r="I53" s="20"/>
    </row>
    <row r="54" spans="4:9" x14ac:dyDescent="0.2">
      <c r="D54" s="1"/>
      <c r="E54" s="1"/>
      <c r="F54" s="1"/>
      <c r="G54" s="20"/>
      <c r="H54" s="20"/>
      <c r="I54" s="20"/>
    </row>
    <row r="55" spans="4:9" x14ac:dyDescent="0.2">
      <c r="D55" s="1"/>
      <c r="E55" s="1"/>
      <c r="F55" s="1"/>
      <c r="G55" s="20"/>
      <c r="H55" s="20"/>
      <c r="I55" s="20"/>
    </row>
    <row r="56" spans="4:9" x14ac:dyDescent="0.2">
      <c r="D56" s="1"/>
      <c r="E56" s="1"/>
      <c r="F56" s="1"/>
      <c r="G56" s="20"/>
      <c r="H56" s="20"/>
      <c r="I56" s="20"/>
    </row>
    <row r="57" spans="4:9" x14ac:dyDescent="0.2">
      <c r="D57" s="1"/>
      <c r="E57" s="1"/>
      <c r="F57" s="1"/>
      <c r="G57" s="20"/>
      <c r="H57" s="20"/>
      <c r="I57" s="20"/>
    </row>
    <row r="58" spans="4:9" x14ac:dyDescent="0.2">
      <c r="D58" s="1"/>
      <c r="E58" s="1"/>
      <c r="F58" s="1"/>
      <c r="G58" s="20"/>
      <c r="H58" s="20"/>
      <c r="I58" s="20"/>
    </row>
    <row r="59" spans="4:9" x14ac:dyDescent="0.2">
      <c r="D59" s="1"/>
      <c r="E59" s="1"/>
      <c r="F59" s="1"/>
      <c r="G59" s="20"/>
      <c r="H59" s="20"/>
      <c r="I59" s="20"/>
    </row>
    <row r="60" spans="4:9" x14ac:dyDescent="0.2">
      <c r="D60" s="1"/>
      <c r="E60" s="1"/>
      <c r="F60" s="1"/>
      <c r="G60" s="20"/>
      <c r="H60" s="20"/>
      <c r="I60" s="20"/>
    </row>
    <row r="61" spans="4:9" x14ac:dyDescent="0.2">
      <c r="D61" s="1"/>
      <c r="E61" s="1"/>
      <c r="F61" s="1"/>
      <c r="G61" s="20"/>
      <c r="H61" s="20"/>
      <c r="I61" s="20"/>
    </row>
    <row r="62" spans="4:9" x14ac:dyDescent="0.2">
      <c r="D62" s="1"/>
      <c r="E62" s="1"/>
      <c r="F62" s="1"/>
      <c r="G62" s="20"/>
      <c r="H62" s="20"/>
      <c r="I62" s="20"/>
    </row>
    <row r="63" spans="4:9" x14ac:dyDescent="0.2">
      <c r="D63" s="1"/>
      <c r="E63" s="1"/>
      <c r="F63" s="1"/>
      <c r="G63" s="20"/>
      <c r="H63" s="20"/>
      <c r="I63" s="20"/>
    </row>
    <row r="64" spans="4:9" x14ac:dyDescent="0.2">
      <c r="D64" s="1"/>
      <c r="E64" s="1"/>
      <c r="F64" s="1"/>
      <c r="G64" s="20"/>
      <c r="H64" s="20"/>
      <c r="I64" s="20"/>
    </row>
    <row r="65" spans="4:9" x14ac:dyDescent="0.2">
      <c r="D65" s="1"/>
      <c r="E65" s="1"/>
      <c r="F65" s="1"/>
      <c r="G65" s="20"/>
      <c r="H65" s="20"/>
      <c r="I65" s="20"/>
    </row>
    <row r="66" spans="4:9" x14ac:dyDescent="0.2">
      <c r="D66" s="1"/>
      <c r="E66" s="1"/>
      <c r="F66" s="1"/>
      <c r="G66" s="20"/>
      <c r="H66" s="20"/>
      <c r="I66" s="20"/>
    </row>
    <row r="67" spans="4:9" x14ac:dyDescent="0.2">
      <c r="D67" s="1"/>
      <c r="E67" s="1"/>
      <c r="F67" s="1"/>
      <c r="G67" s="20"/>
      <c r="H67" s="20"/>
      <c r="I67" s="20"/>
    </row>
    <row r="68" spans="4:9" x14ac:dyDescent="0.2">
      <c r="D68" s="1"/>
      <c r="E68" s="1"/>
      <c r="F68" s="1"/>
      <c r="G68" s="20"/>
      <c r="H68" s="20"/>
      <c r="I68" s="20"/>
    </row>
    <row r="69" spans="4:9" x14ac:dyDescent="0.2">
      <c r="D69" s="1"/>
      <c r="E69" s="1"/>
      <c r="F69" s="1"/>
      <c r="G69" s="20"/>
      <c r="H69" s="20"/>
      <c r="I69" s="20"/>
    </row>
    <row r="70" spans="4:9" x14ac:dyDescent="0.2">
      <c r="D70" s="1"/>
      <c r="E70" s="1"/>
      <c r="F70" s="1"/>
      <c r="G70" s="20"/>
      <c r="H70" s="20"/>
      <c r="I70" s="20"/>
    </row>
    <row r="71" spans="4:9" x14ac:dyDescent="0.2">
      <c r="D71" s="1"/>
      <c r="E71" s="1"/>
      <c r="F71" s="1"/>
      <c r="G71" s="20"/>
      <c r="H71" s="20"/>
      <c r="I71" s="20"/>
    </row>
    <row r="72" spans="4:9" x14ac:dyDescent="0.2">
      <c r="D72" s="1"/>
      <c r="E72" s="1"/>
      <c r="F72" s="1"/>
      <c r="G72" s="20"/>
      <c r="H72" s="20"/>
      <c r="I72" s="20"/>
    </row>
    <row r="73" spans="4:9" x14ac:dyDescent="0.2">
      <c r="D73" s="1"/>
      <c r="E73" s="1"/>
      <c r="F73" s="1"/>
      <c r="G73" s="20"/>
      <c r="H73" s="20"/>
      <c r="I73" s="20"/>
    </row>
    <row r="74" spans="4:9" x14ac:dyDescent="0.2">
      <c r="D74" s="1"/>
      <c r="E74" s="1"/>
      <c r="F74" s="1"/>
      <c r="G74" s="20"/>
      <c r="H74" s="20"/>
      <c r="I74" s="20"/>
    </row>
    <row r="75" spans="4:9" x14ac:dyDescent="0.2">
      <c r="D75" s="1"/>
      <c r="E75" s="1"/>
      <c r="F75" s="1"/>
      <c r="G75" s="20"/>
      <c r="H75" s="20"/>
      <c r="I75" s="20"/>
    </row>
    <row r="76" spans="4:9" x14ac:dyDescent="0.2">
      <c r="D76" s="1"/>
      <c r="E76" s="1"/>
      <c r="F76" s="1"/>
      <c r="G76" s="20"/>
      <c r="H76" s="20"/>
      <c r="I76" s="20"/>
    </row>
    <row r="77" spans="4:9" x14ac:dyDescent="0.2">
      <c r="D77" s="1"/>
      <c r="E77" s="1"/>
      <c r="F77" s="1"/>
      <c r="G77" s="20"/>
      <c r="H77" s="20"/>
      <c r="I77" s="20"/>
    </row>
    <row r="78" spans="4:9" x14ac:dyDescent="0.2">
      <c r="D78" s="1"/>
      <c r="E78" s="1"/>
      <c r="F78" s="1"/>
      <c r="G78" s="20"/>
      <c r="H78" s="20"/>
      <c r="I78" s="20"/>
    </row>
    <row r="79" spans="4:9" x14ac:dyDescent="0.2">
      <c r="D79" s="1"/>
      <c r="E79" s="1"/>
      <c r="F79" s="1"/>
      <c r="G79" s="20"/>
      <c r="H79" s="20"/>
      <c r="I79" s="20"/>
    </row>
    <row r="80" spans="4:9" x14ac:dyDescent="0.2">
      <c r="D80" s="1"/>
      <c r="E80" s="1"/>
      <c r="F80" s="1"/>
      <c r="G80" s="20"/>
      <c r="H80" s="20"/>
      <c r="I80" s="20"/>
    </row>
    <row r="81" spans="4:9" x14ac:dyDescent="0.2">
      <c r="D81" s="1"/>
      <c r="E81" s="1"/>
      <c r="F81" s="1"/>
      <c r="G81" s="20"/>
      <c r="H81" s="20"/>
      <c r="I81" s="20"/>
    </row>
    <row r="82" spans="4:9" x14ac:dyDescent="0.2">
      <c r="D82" s="1"/>
      <c r="E82" s="1"/>
      <c r="F82" s="1"/>
      <c r="G82" s="20"/>
      <c r="H82" s="20"/>
      <c r="I82" s="20"/>
    </row>
    <row r="83" spans="4:9" x14ac:dyDescent="0.2">
      <c r="D83" s="1"/>
      <c r="E83" s="1"/>
      <c r="F83" s="1"/>
      <c r="G83" s="20"/>
      <c r="H83" s="20"/>
      <c r="I83" s="20"/>
    </row>
    <row r="84" spans="4:9" x14ac:dyDescent="0.2">
      <c r="D84" s="1"/>
      <c r="E84" s="1"/>
      <c r="F84" s="1"/>
      <c r="G84" s="20"/>
      <c r="H84" s="20"/>
      <c r="I84" s="20"/>
    </row>
    <row r="85" spans="4:9" x14ac:dyDescent="0.2">
      <c r="D85" s="1"/>
      <c r="E85" s="1"/>
      <c r="F85" s="1"/>
      <c r="G85" s="20"/>
      <c r="H85" s="20"/>
      <c r="I85" s="20"/>
    </row>
    <row r="86" spans="4:9" x14ac:dyDescent="0.2">
      <c r="D86" s="1"/>
      <c r="E86" s="1"/>
      <c r="F86" s="1"/>
      <c r="G86" s="20"/>
      <c r="H86" s="20"/>
      <c r="I86" s="20"/>
    </row>
    <row r="87" spans="4:9" x14ac:dyDescent="0.2">
      <c r="D87" s="1"/>
      <c r="E87" s="1"/>
      <c r="F87" s="1"/>
      <c r="G87" s="20"/>
      <c r="H87" s="20"/>
      <c r="I87" s="20"/>
    </row>
    <row r="88" spans="4:9" x14ac:dyDescent="0.2">
      <c r="D88" s="1"/>
      <c r="E88" s="1"/>
      <c r="F88" s="1"/>
      <c r="G88" s="20"/>
      <c r="H88" s="20"/>
      <c r="I88" s="20"/>
    </row>
    <row r="89" spans="4:9" x14ac:dyDescent="0.2">
      <c r="D89" s="1"/>
      <c r="E89" s="1"/>
      <c r="F89" s="1"/>
      <c r="G89" s="20"/>
      <c r="H89" s="20"/>
      <c r="I89" s="20"/>
    </row>
    <row r="90" spans="4:9" x14ac:dyDescent="0.2">
      <c r="D90" s="1"/>
      <c r="E90" s="1"/>
      <c r="F90" s="1"/>
      <c r="G90" s="20"/>
      <c r="H90" s="20"/>
      <c r="I90" s="20"/>
    </row>
    <row r="91" spans="4:9" x14ac:dyDescent="0.2">
      <c r="D91" s="1"/>
      <c r="E91" s="1"/>
      <c r="F91" s="1"/>
      <c r="G91" s="20"/>
      <c r="H91" s="20"/>
      <c r="I91" s="20"/>
    </row>
    <row r="92" spans="4:9" x14ac:dyDescent="0.2">
      <c r="D92" s="1"/>
      <c r="E92" s="1"/>
      <c r="F92" s="1"/>
      <c r="G92" s="20"/>
      <c r="H92" s="20"/>
      <c r="I92" s="20"/>
    </row>
    <row r="93" spans="4:9" x14ac:dyDescent="0.2">
      <c r="D93" s="1"/>
      <c r="E93" s="1"/>
      <c r="F93" s="1"/>
      <c r="G93" s="20"/>
      <c r="H93" s="20"/>
      <c r="I93" s="20"/>
    </row>
    <row r="94" spans="4:9" x14ac:dyDescent="0.2">
      <c r="D94" s="1"/>
      <c r="E94" s="1"/>
      <c r="F94" s="1"/>
      <c r="G94" s="20"/>
      <c r="H94" s="20"/>
      <c r="I94" s="20"/>
    </row>
    <row r="95" spans="4:9" x14ac:dyDescent="0.2">
      <c r="D95" s="1"/>
      <c r="E95" s="1"/>
      <c r="F95" s="1"/>
      <c r="G95" s="20"/>
      <c r="H95" s="20"/>
      <c r="I95" s="20"/>
    </row>
    <row r="96" spans="4:9" x14ac:dyDescent="0.2">
      <c r="D96" s="1"/>
      <c r="E96" s="1"/>
      <c r="F96" s="1"/>
      <c r="G96" s="20"/>
      <c r="H96" s="20"/>
      <c r="I96" s="20"/>
    </row>
    <row r="97" spans="4:9" x14ac:dyDescent="0.2">
      <c r="D97" s="1"/>
      <c r="E97" s="1"/>
      <c r="F97" s="1"/>
      <c r="G97" s="20"/>
      <c r="H97" s="20"/>
      <c r="I97" s="20"/>
    </row>
    <row r="98" spans="4:9" x14ac:dyDescent="0.2">
      <c r="D98" s="1"/>
      <c r="E98" s="1"/>
      <c r="F98" s="1"/>
      <c r="G98" s="20"/>
      <c r="H98" s="20"/>
      <c r="I98" s="20"/>
    </row>
    <row r="99" spans="4:9" x14ac:dyDescent="0.2">
      <c r="D99" s="1"/>
      <c r="E99" s="1"/>
      <c r="F99" s="1"/>
      <c r="G99" s="20"/>
      <c r="H99" s="20"/>
      <c r="I99" s="20"/>
    </row>
    <row r="100" spans="4:9" x14ac:dyDescent="0.2">
      <c r="D100" s="1"/>
      <c r="E100" s="1"/>
      <c r="F100" s="1"/>
      <c r="G100" s="20"/>
      <c r="H100" s="20"/>
      <c r="I100" s="20"/>
    </row>
    <row r="101" spans="4:9" x14ac:dyDescent="0.2">
      <c r="D101" s="1"/>
      <c r="E101" s="1"/>
      <c r="F101" s="1"/>
      <c r="G101" s="20"/>
      <c r="H101" s="20"/>
      <c r="I101" s="20"/>
    </row>
    <row r="102" spans="4:9" x14ac:dyDescent="0.2">
      <c r="D102" s="1"/>
      <c r="E102" s="1"/>
      <c r="F102" s="1"/>
      <c r="G102" s="20"/>
      <c r="H102" s="20"/>
      <c r="I102" s="20"/>
    </row>
    <row r="103" spans="4:9" x14ac:dyDescent="0.2">
      <c r="D103" s="1"/>
      <c r="E103" s="1"/>
      <c r="F103" s="1"/>
      <c r="G103" s="20"/>
      <c r="H103" s="20"/>
      <c r="I103" s="20"/>
    </row>
    <row r="104" spans="4:9" x14ac:dyDescent="0.2">
      <c r="D104" s="1"/>
      <c r="E104" s="1"/>
      <c r="F104" s="1"/>
      <c r="G104" s="20"/>
      <c r="H104" s="20"/>
      <c r="I104" s="20"/>
    </row>
    <row r="105" spans="4:9" x14ac:dyDescent="0.2">
      <c r="D105" s="1"/>
      <c r="E105" s="1"/>
      <c r="F105" s="1"/>
      <c r="G105" s="20"/>
      <c r="H105" s="20"/>
      <c r="I105" s="20"/>
    </row>
    <row r="106" spans="4:9" x14ac:dyDescent="0.2">
      <c r="D106" s="1"/>
      <c r="E106" s="1"/>
      <c r="F106" s="1"/>
      <c r="G106" s="20"/>
      <c r="H106" s="20"/>
      <c r="I106" s="20"/>
    </row>
    <row r="107" spans="4:9" x14ac:dyDescent="0.2">
      <c r="D107" s="1"/>
      <c r="E107" s="1"/>
      <c r="F107" s="1"/>
      <c r="G107" s="20"/>
      <c r="H107" s="20"/>
      <c r="I107" s="20"/>
    </row>
    <row r="108" spans="4:9" x14ac:dyDescent="0.2">
      <c r="D108" s="1"/>
      <c r="E108" s="1"/>
      <c r="F108" s="1"/>
      <c r="G108" s="20"/>
      <c r="H108" s="20"/>
      <c r="I108" s="20"/>
    </row>
    <row r="109" spans="4:9" x14ac:dyDescent="0.2">
      <c r="D109" s="1"/>
      <c r="E109" s="1"/>
      <c r="F109" s="1"/>
      <c r="G109" s="20"/>
      <c r="H109" s="20"/>
      <c r="I109" s="20"/>
    </row>
    <row r="110" spans="4:9" x14ac:dyDescent="0.2">
      <c r="D110" s="1"/>
      <c r="E110" s="1"/>
      <c r="F110" s="1"/>
      <c r="G110" s="20"/>
      <c r="H110" s="20"/>
      <c r="I110" s="20"/>
    </row>
    <row r="111" spans="4:9" x14ac:dyDescent="0.2">
      <c r="D111" s="1"/>
      <c r="E111" s="1"/>
      <c r="F111" s="1"/>
      <c r="G111" s="20"/>
      <c r="H111" s="20"/>
      <c r="I111" s="20"/>
    </row>
  </sheetData>
  <mergeCells count="6">
    <mergeCell ref="P2:R2"/>
    <mergeCell ref="J1:K2"/>
    <mergeCell ref="D2:F2"/>
    <mergeCell ref="L1:R1"/>
    <mergeCell ref="L2:O2"/>
    <mergeCell ref="G1:I2"/>
  </mergeCell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586"/>
  <sheetViews>
    <sheetView workbookViewId="0">
      <selection activeCell="J16" sqref="J16:P20"/>
    </sheetView>
  </sheetViews>
  <sheetFormatPr defaultRowHeight="15" x14ac:dyDescent="0.25"/>
  <cols>
    <col min="1" max="1" width="11.85546875" style="42" customWidth="1"/>
    <col min="2" max="2" width="27" style="42" customWidth="1"/>
    <col min="3" max="3" width="9.140625" style="42" customWidth="1"/>
    <col min="4" max="4" width="9.140625" style="42"/>
    <col min="5" max="5" width="16.140625" style="42" customWidth="1"/>
    <col min="6" max="6" width="10.140625" style="42" customWidth="1"/>
    <col min="7" max="7" width="14.28515625" style="42" customWidth="1"/>
    <col min="8" max="8" width="11.140625" style="42" customWidth="1"/>
    <col min="9" max="12" width="9.140625" style="42"/>
    <col min="13" max="13" width="24" style="42" customWidth="1"/>
    <col min="14" max="16384" width="9.140625" style="42"/>
  </cols>
  <sheetData>
    <row r="2" spans="1:21" x14ac:dyDescent="0.25">
      <c r="A2" s="42" t="s">
        <v>364</v>
      </c>
    </row>
    <row r="4" spans="1:21" x14ac:dyDescent="0.25">
      <c r="A4" s="104" t="s">
        <v>254</v>
      </c>
      <c r="B4" s="44"/>
      <c r="C4" s="45"/>
      <c r="D4" s="44"/>
      <c r="E4" s="46"/>
      <c r="F4" s="47"/>
      <c r="G4" s="48"/>
      <c r="H4" s="49"/>
      <c r="I4" s="44"/>
      <c r="J4" s="44"/>
      <c r="K4" s="45"/>
      <c r="L4" s="45"/>
      <c r="M4" s="45"/>
      <c r="N4" s="45"/>
      <c r="O4" s="45"/>
      <c r="P4" s="45"/>
      <c r="Q4" s="44"/>
      <c r="R4" s="44"/>
      <c r="S4" s="44"/>
      <c r="T4" s="44"/>
      <c r="U4" s="44"/>
    </row>
    <row r="5" spans="1:21" x14ac:dyDescent="0.25">
      <c r="C5" s="50"/>
      <c r="E5" s="51"/>
      <c r="F5" s="52"/>
      <c r="G5" s="53"/>
      <c r="H5" s="54"/>
      <c r="K5" s="50"/>
      <c r="L5" s="50"/>
      <c r="M5" s="50"/>
      <c r="N5" s="50"/>
      <c r="O5" s="50"/>
      <c r="P5" s="50"/>
    </row>
    <row r="6" spans="1:21" x14ac:dyDescent="0.25">
      <c r="A6" s="105"/>
      <c r="B6" s="105"/>
      <c r="C6" s="203" t="s">
        <v>238</v>
      </c>
      <c r="D6" s="203"/>
      <c r="E6" s="203"/>
      <c r="F6" s="204" t="s">
        <v>263</v>
      </c>
      <c r="G6" s="204"/>
      <c r="H6" s="198" t="s">
        <v>361</v>
      </c>
      <c r="K6" s="50"/>
      <c r="L6" s="50"/>
      <c r="M6" s="50"/>
      <c r="N6" s="50"/>
      <c r="O6" s="50"/>
      <c r="P6" s="50"/>
    </row>
    <row r="7" spans="1:21" ht="15" customHeight="1" x14ac:dyDescent="0.25">
      <c r="A7" s="105"/>
      <c r="B7" s="105"/>
      <c r="C7" s="199" t="s">
        <v>359</v>
      </c>
      <c r="D7" s="201" t="s">
        <v>360</v>
      </c>
      <c r="E7" s="201" t="s">
        <v>365</v>
      </c>
      <c r="F7" s="143" t="s">
        <v>362</v>
      </c>
      <c r="G7" s="143" t="s">
        <v>363</v>
      </c>
      <c r="H7" s="198"/>
      <c r="K7" s="50"/>
      <c r="L7" s="50"/>
      <c r="M7" s="50"/>
      <c r="N7" s="50"/>
      <c r="O7" s="50"/>
      <c r="P7" s="50"/>
    </row>
    <row r="8" spans="1:21" x14ac:dyDescent="0.25">
      <c r="A8" s="55" t="s">
        <v>333</v>
      </c>
      <c r="B8" s="107"/>
      <c r="C8" s="200"/>
      <c r="D8" s="202"/>
      <c r="E8" s="202"/>
      <c r="F8" s="143" t="s">
        <v>366</v>
      </c>
      <c r="G8" s="143" t="s">
        <v>367</v>
      </c>
      <c r="H8" s="106" t="s">
        <v>368</v>
      </c>
      <c r="J8" s="222" t="s">
        <v>358</v>
      </c>
      <c r="K8" s="222"/>
      <c r="L8" s="222"/>
      <c r="M8" s="222"/>
      <c r="N8" s="222"/>
      <c r="O8" s="222"/>
      <c r="P8" s="222"/>
    </row>
    <row r="9" spans="1:21" x14ac:dyDescent="0.25">
      <c r="A9" s="56" t="s">
        <v>233</v>
      </c>
      <c r="B9" s="56" t="s">
        <v>343</v>
      </c>
      <c r="C9" s="57">
        <v>21</v>
      </c>
      <c r="D9" s="58">
        <v>77</v>
      </c>
      <c r="E9" s="59">
        <f>D9</f>
        <v>77</v>
      </c>
      <c r="F9" s="58">
        <f>D9*100000/C9</f>
        <v>366666.66666666669</v>
      </c>
      <c r="G9" s="59">
        <f>F9</f>
        <v>366666.66666666669</v>
      </c>
      <c r="H9" s="60">
        <f>E9*100000/F9</f>
        <v>21</v>
      </c>
      <c r="K9" s="50" t="s">
        <v>377</v>
      </c>
      <c r="L9" s="108" t="s">
        <v>370</v>
      </c>
      <c r="M9" s="108" t="s">
        <v>243</v>
      </c>
      <c r="N9" s="50"/>
      <c r="O9" s="50" t="s">
        <v>370</v>
      </c>
      <c r="P9" s="93" t="s">
        <v>376</v>
      </c>
    </row>
    <row r="10" spans="1:21" x14ac:dyDescent="0.25">
      <c r="A10" s="207" t="s">
        <v>234</v>
      </c>
      <c r="B10" s="61" t="s">
        <v>266</v>
      </c>
      <c r="C10" s="62">
        <v>55.4</v>
      </c>
      <c r="D10" s="63">
        <v>34</v>
      </c>
      <c r="E10" s="192">
        <f>SUM(D10:D13)</f>
        <v>70</v>
      </c>
      <c r="F10" s="63">
        <f t="shared" ref="F10:F17" si="0">D10*100000/C10</f>
        <v>61371.841155234659</v>
      </c>
      <c r="G10" s="192">
        <f>SUM(F10:F13)</f>
        <v>469530.87313449138</v>
      </c>
      <c r="H10" s="195">
        <f>E10*100000/G10</f>
        <v>14.908497823091892</v>
      </c>
      <c r="J10" s="42" t="s">
        <v>233</v>
      </c>
      <c r="K10" s="50">
        <f>(H9+H24)/2</f>
        <v>11.8</v>
      </c>
      <c r="L10" s="223">
        <f>(K10+K11+K12)/3</f>
        <v>12.028195893276015</v>
      </c>
      <c r="M10" s="50" t="s">
        <v>255</v>
      </c>
      <c r="N10" s="50">
        <v>17.600000000000001</v>
      </c>
      <c r="O10" s="223">
        <f>(N10+N11+N12+N13)/4</f>
        <v>19.25</v>
      </c>
      <c r="P10" s="50">
        <f>O10*K10/L10</f>
        <v>18.884793863972657</v>
      </c>
    </row>
    <row r="11" spans="1:21" x14ac:dyDescent="0.25">
      <c r="A11" s="209"/>
      <c r="B11" s="64" t="s">
        <v>267</v>
      </c>
      <c r="C11" s="65">
        <v>7.5</v>
      </c>
      <c r="D11" s="66">
        <v>24</v>
      </c>
      <c r="E11" s="193"/>
      <c r="F11" s="66">
        <f t="shared" si="0"/>
        <v>320000</v>
      </c>
      <c r="G11" s="193"/>
      <c r="H11" s="196"/>
      <c r="J11" s="42" t="s">
        <v>234</v>
      </c>
      <c r="K11" s="50">
        <f>(H10+H25)/2</f>
        <v>13.199763778856539</v>
      </c>
      <c r="L11" s="223"/>
      <c r="M11" s="50" t="s">
        <v>256</v>
      </c>
      <c r="N11" s="50">
        <v>30</v>
      </c>
      <c r="O11" s="223"/>
      <c r="P11" s="50">
        <f>O10*K11/L10</f>
        <v>21.124984577698179</v>
      </c>
    </row>
    <row r="12" spans="1:21" x14ac:dyDescent="0.25">
      <c r="A12" s="209"/>
      <c r="B12" s="64" t="s">
        <v>268</v>
      </c>
      <c r="C12" s="65">
        <v>8.9</v>
      </c>
      <c r="D12" s="66">
        <v>1</v>
      </c>
      <c r="E12" s="193"/>
      <c r="F12" s="66">
        <f t="shared" si="0"/>
        <v>11235.955056179775</v>
      </c>
      <c r="G12" s="193"/>
      <c r="H12" s="196"/>
      <c r="J12" s="42" t="s">
        <v>235</v>
      </c>
      <c r="K12" s="50">
        <f>(H14+H29)/2</f>
        <v>11.084823900971507</v>
      </c>
      <c r="L12" s="223"/>
      <c r="M12" s="50" t="s">
        <v>257</v>
      </c>
      <c r="N12" s="50">
        <v>16.3</v>
      </c>
      <c r="O12" s="223"/>
      <c r="P12" s="50">
        <f>O10*K12/L10</f>
        <v>17.740221558329168</v>
      </c>
    </row>
    <row r="13" spans="1:21" x14ac:dyDescent="0.25">
      <c r="A13" s="208"/>
      <c r="B13" s="67" t="s">
        <v>269</v>
      </c>
      <c r="C13" s="68">
        <v>14.3</v>
      </c>
      <c r="D13" s="69">
        <v>11</v>
      </c>
      <c r="E13" s="194"/>
      <c r="F13" s="69">
        <f t="shared" si="0"/>
        <v>76923.076923076922</v>
      </c>
      <c r="G13" s="194"/>
      <c r="H13" s="197"/>
      <c r="K13" s="50"/>
      <c r="L13" s="50"/>
      <c r="M13" s="50" t="s">
        <v>258</v>
      </c>
      <c r="N13" s="50">
        <v>13.1</v>
      </c>
      <c r="O13" s="223"/>
      <c r="P13" s="50"/>
    </row>
    <row r="14" spans="1:21" x14ac:dyDescent="0.25">
      <c r="A14" s="207" t="s">
        <v>235</v>
      </c>
      <c r="B14" s="61" t="s">
        <v>270</v>
      </c>
      <c r="C14" s="62">
        <v>6.6</v>
      </c>
      <c r="D14" s="63">
        <v>8</v>
      </c>
      <c r="E14" s="192">
        <f>SUM(D14:D17)</f>
        <v>61</v>
      </c>
      <c r="F14" s="63">
        <f t="shared" si="0"/>
        <v>121212.12121212122</v>
      </c>
      <c r="G14" s="192">
        <f>SUM(F14:F17)</f>
        <v>350977.06432831241</v>
      </c>
      <c r="H14" s="195">
        <f>E14*100000/G14</f>
        <v>17.38005305752376</v>
      </c>
      <c r="J14" s="109"/>
      <c r="K14" s="50"/>
      <c r="L14" s="50"/>
      <c r="M14" s="50"/>
      <c r="N14" s="50"/>
      <c r="O14" s="50"/>
      <c r="P14" s="50"/>
    </row>
    <row r="15" spans="1:21" x14ac:dyDescent="0.25">
      <c r="A15" s="209"/>
      <c r="B15" s="64" t="s">
        <v>272</v>
      </c>
      <c r="C15" s="65">
        <v>53.7</v>
      </c>
      <c r="D15" s="66">
        <v>31</v>
      </c>
      <c r="E15" s="193"/>
      <c r="F15" s="66">
        <f t="shared" si="0"/>
        <v>57728.119180633141</v>
      </c>
      <c r="G15" s="193"/>
      <c r="H15" s="196"/>
      <c r="K15" s="50"/>
      <c r="L15" s="50"/>
      <c r="M15" s="50"/>
      <c r="N15" s="50"/>
      <c r="O15" s="50"/>
      <c r="P15" s="50"/>
    </row>
    <row r="16" spans="1:21" ht="15" customHeight="1" x14ac:dyDescent="0.25">
      <c r="A16" s="209"/>
      <c r="B16" s="64" t="s">
        <v>273</v>
      </c>
      <c r="C16" s="65">
        <v>4.4000000000000004</v>
      </c>
      <c r="D16" s="66">
        <v>2</v>
      </c>
      <c r="E16" s="193"/>
      <c r="F16" s="66">
        <f t="shared" si="0"/>
        <v>45454.545454545449</v>
      </c>
      <c r="G16" s="193"/>
      <c r="H16" s="196"/>
      <c r="J16" s="213" t="s">
        <v>397</v>
      </c>
      <c r="K16" s="214"/>
      <c r="L16" s="214"/>
      <c r="M16" s="214"/>
      <c r="N16" s="214"/>
      <c r="O16" s="214"/>
      <c r="P16" s="215"/>
      <c r="Q16" s="41"/>
    </row>
    <row r="17" spans="1:18" x14ac:dyDescent="0.25">
      <c r="A17" s="208"/>
      <c r="B17" s="67" t="s">
        <v>275</v>
      </c>
      <c r="C17" s="68">
        <v>15.8</v>
      </c>
      <c r="D17" s="69">
        <v>20</v>
      </c>
      <c r="E17" s="194"/>
      <c r="F17" s="69">
        <f t="shared" si="0"/>
        <v>126582.27848101265</v>
      </c>
      <c r="G17" s="194"/>
      <c r="H17" s="197"/>
      <c r="J17" s="216"/>
      <c r="K17" s="217"/>
      <c r="L17" s="217"/>
      <c r="M17" s="217"/>
      <c r="N17" s="217"/>
      <c r="O17" s="217"/>
      <c r="P17" s="218"/>
      <c r="Q17" s="41"/>
    </row>
    <row r="18" spans="1:18" x14ac:dyDescent="0.25">
      <c r="A18" s="70"/>
      <c r="C18" s="50"/>
      <c r="E18" s="51"/>
      <c r="F18" s="52"/>
      <c r="G18" s="163"/>
      <c r="H18" s="54"/>
      <c r="J18" s="216"/>
      <c r="K18" s="217"/>
      <c r="L18" s="217"/>
      <c r="M18" s="217"/>
      <c r="N18" s="217"/>
      <c r="O18" s="217"/>
      <c r="P18" s="218"/>
      <c r="Q18" s="41"/>
    </row>
    <row r="19" spans="1:18" x14ac:dyDescent="0.25">
      <c r="A19" s="70"/>
      <c r="C19" s="50"/>
      <c r="E19" s="51"/>
      <c r="F19" s="52"/>
      <c r="G19" s="53"/>
      <c r="H19" s="54"/>
      <c r="J19" s="216"/>
      <c r="K19" s="217"/>
      <c r="L19" s="217"/>
      <c r="M19" s="217"/>
      <c r="N19" s="217"/>
      <c r="O19" s="217"/>
      <c r="P19" s="218"/>
      <c r="Q19" s="41"/>
    </row>
    <row r="20" spans="1:18" x14ac:dyDescent="0.25">
      <c r="C20" s="50"/>
      <c r="E20" s="51"/>
      <c r="F20" s="52"/>
      <c r="G20" s="53"/>
      <c r="H20" s="54"/>
      <c r="J20" s="219"/>
      <c r="K20" s="220"/>
      <c r="L20" s="220"/>
      <c r="M20" s="220"/>
      <c r="N20" s="220"/>
      <c r="O20" s="220"/>
      <c r="P20" s="221"/>
      <c r="Q20" s="41"/>
      <c r="R20" s="41"/>
    </row>
    <row r="21" spans="1:18" x14ac:dyDescent="0.25">
      <c r="A21" s="105"/>
      <c r="B21" s="105"/>
      <c r="C21" s="203" t="s">
        <v>238</v>
      </c>
      <c r="D21" s="203"/>
      <c r="E21" s="203"/>
      <c r="F21" s="204" t="s">
        <v>263</v>
      </c>
      <c r="G21" s="204"/>
      <c r="H21" s="198" t="s">
        <v>361</v>
      </c>
      <c r="J21" s="41"/>
      <c r="K21" s="41"/>
      <c r="L21" s="41"/>
      <c r="M21" s="41"/>
      <c r="N21" s="41"/>
      <c r="O21" s="41"/>
      <c r="P21" s="41"/>
      <c r="Q21" s="41"/>
      <c r="R21" s="41"/>
    </row>
    <row r="22" spans="1:18" x14ac:dyDescent="0.25">
      <c r="A22" s="105"/>
      <c r="B22" s="105"/>
      <c r="C22" s="199" t="s">
        <v>359</v>
      </c>
      <c r="D22" s="201" t="s">
        <v>360</v>
      </c>
      <c r="E22" s="201" t="s">
        <v>365</v>
      </c>
      <c r="F22" s="143" t="s">
        <v>362</v>
      </c>
      <c r="G22" s="143" t="s">
        <v>363</v>
      </c>
      <c r="H22" s="198"/>
      <c r="J22" s="41"/>
      <c r="K22" s="41"/>
      <c r="L22" s="41"/>
      <c r="M22" s="41"/>
      <c r="N22" s="41"/>
      <c r="O22" s="41"/>
      <c r="P22" s="41"/>
      <c r="Q22" s="41"/>
      <c r="R22" s="41"/>
    </row>
    <row r="23" spans="1:18" x14ac:dyDescent="0.25">
      <c r="A23" s="55" t="s">
        <v>334</v>
      </c>
      <c r="B23" s="107"/>
      <c r="C23" s="200"/>
      <c r="D23" s="202"/>
      <c r="E23" s="202"/>
      <c r="F23" s="143" t="s">
        <v>366</v>
      </c>
      <c r="G23" s="143" t="s">
        <v>367</v>
      </c>
      <c r="H23" s="106" t="s">
        <v>368</v>
      </c>
      <c r="K23" s="50"/>
      <c r="L23" s="50"/>
      <c r="M23" s="50"/>
      <c r="N23" s="50"/>
      <c r="O23" s="50"/>
      <c r="P23" s="50"/>
    </row>
    <row r="24" spans="1:18" x14ac:dyDescent="0.25">
      <c r="A24" s="56" t="s">
        <v>233</v>
      </c>
      <c r="B24" s="56" t="s">
        <v>264</v>
      </c>
      <c r="C24" s="57">
        <v>2.6</v>
      </c>
      <c r="D24" s="58">
        <v>5</v>
      </c>
      <c r="E24" s="59">
        <f>D24</f>
        <v>5</v>
      </c>
      <c r="F24" s="58">
        <f>D24*100000/C24</f>
        <v>192307.69230769231</v>
      </c>
      <c r="G24" s="59">
        <f>F24</f>
        <v>192307.69230769231</v>
      </c>
      <c r="H24" s="60">
        <f>E24*100000/G24</f>
        <v>2.6</v>
      </c>
      <c r="K24" s="50"/>
      <c r="L24" s="50"/>
      <c r="M24" s="50"/>
      <c r="N24" s="50"/>
      <c r="O24" s="50"/>
      <c r="P24" s="50"/>
    </row>
    <row r="25" spans="1:18" x14ac:dyDescent="0.25">
      <c r="A25" s="207" t="s">
        <v>234</v>
      </c>
      <c r="B25" s="61" t="s">
        <v>266</v>
      </c>
      <c r="C25" s="62">
        <v>28.1</v>
      </c>
      <c r="D25" s="63">
        <v>14</v>
      </c>
      <c r="E25" s="192">
        <f>SUM(D25:D28)</f>
        <v>37</v>
      </c>
      <c r="F25" s="63">
        <f t="shared" ref="F25:F33" si="1">D25*100000/C25</f>
        <v>49822.064056939496</v>
      </c>
      <c r="G25" s="192">
        <f>SUM(F25:F28)</f>
        <v>321990.29029159271</v>
      </c>
      <c r="H25" s="195">
        <f>E25*100000/G25</f>
        <v>11.491029734621188</v>
      </c>
      <c r="K25" s="50"/>
      <c r="L25" s="50"/>
      <c r="M25" s="50"/>
      <c r="N25" s="50"/>
      <c r="O25" s="50"/>
      <c r="P25" s="50"/>
    </row>
    <row r="26" spans="1:18" x14ac:dyDescent="0.25">
      <c r="A26" s="209"/>
      <c r="B26" s="64" t="s">
        <v>267</v>
      </c>
      <c r="C26" s="65">
        <v>5.7</v>
      </c>
      <c r="D26" s="66">
        <v>12</v>
      </c>
      <c r="E26" s="193"/>
      <c r="F26" s="66">
        <f t="shared" si="1"/>
        <v>210526.31578947368</v>
      </c>
      <c r="G26" s="193"/>
      <c r="H26" s="196"/>
      <c r="K26" s="50"/>
      <c r="L26" s="50"/>
      <c r="M26" s="50"/>
      <c r="N26" s="50"/>
      <c r="O26" s="50"/>
      <c r="P26" s="50"/>
    </row>
    <row r="27" spans="1:18" x14ac:dyDescent="0.25">
      <c r="A27" s="209"/>
      <c r="B27" s="64" t="s">
        <v>268</v>
      </c>
      <c r="C27" s="65">
        <v>57.1</v>
      </c>
      <c r="D27" s="66">
        <v>7</v>
      </c>
      <c r="E27" s="193"/>
      <c r="F27" s="66">
        <f t="shared" si="1"/>
        <v>12259.194395796847</v>
      </c>
      <c r="G27" s="193"/>
      <c r="H27" s="196"/>
      <c r="K27" s="50"/>
      <c r="L27" s="50"/>
      <c r="M27" s="50"/>
      <c r="N27" s="50"/>
      <c r="O27" s="50"/>
      <c r="P27" s="50"/>
    </row>
    <row r="28" spans="1:18" x14ac:dyDescent="0.25">
      <c r="A28" s="208"/>
      <c r="B28" s="67" t="s">
        <v>269</v>
      </c>
      <c r="C28" s="68">
        <v>8.1</v>
      </c>
      <c r="D28" s="69">
        <v>4</v>
      </c>
      <c r="E28" s="194"/>
      <c r="F28" s="69">
        <f t="shared" si="1"/>
        <v>49382.716049382718</v>
      </c>
      <c r="G28" s="194"/>
      <c r="H28" s="197"/>
      <c r="K28" s="50"/>
      <c r="L28" s="50"/>
      <c r="M28" s="50"/>
      <c r="N28" s="50"/>
      <c r="O28" s="50"/>
      <c r="P28" s="50"/>
    </row>
    <row r="29" spans="1:18" x14ac:dyDescent="0.25">
      <c r="A29" s="207" t="s">
        <v>235</v>
      </c>
      <c r="B29" s="61" t="s">
        <v>270</v>
      </c>
      <c r="C29" s="62">
        <v>1.6</v>
      </c>
      <c r="D29" s="63">
        <v>3</v>
      </c>
      <c r="E29" s="192">
        <f>SUM(D29:D33)</f>
        <v>20</v>
      </c>
      <c r="F29" s="63">
        <f t="shared" si="1"/>
        <v>187500</v>
      </c>
      <c r="G29" s="192">
        <f>SUM(F29:F33)</f>
        <v>417571.86290768383</v>
      </c>
      <c r="H29" s="195">
        <f>E29*100000/G29</f>
        <v>4.7895947444192544</v>
      </c>
      <c r="K29" s="50"/>
      <c r="L29" s="50"/>
      <c r="M29" s="50"/>
      <c r="N29" s="50"/>
      <c r="O29" s="50"/>
      <c r="P29" s="50"/>
    </row>
    <row r="30" spans="1:18" x14ac:dyDescent="0.25">
      <c r="A30" s="209"/>
      <c r="B30" s="64" t="s">
        <v>272</v>
      </c>
      <c r="C30" s="65">
        <v>13.4</v>
      </c>
      <c r="D30" s="66">
        <v>8</v>
      </c>
      <c r="E30" s="193"/>
      <c r="F30" s="66">
        <f t="shared" si="1"/>
        <v>59701.492537313432</v>
      </c>
      <c r="G30" s="193"/>
      <c r="H30" s="196"/>
      <c r="K30" s="50"/>
      <c r="L30" s="50"/>
      <c r="M30" s="50"/>
      <c r="N30" s="50"/>
      <c r="O30" s="50"/>
      <c r="P30" s="50"/>
    </row>
    <row r="31" spans="1:18" x14ac:dyDescent="0.25">
      <c r="A31" s="209"/>
      <c r="B31" s="64" t="s">
        <v>273</v>
      </c>
      <c r="C31" s="65">
        <v>0</v>
      </c>
      <c r="D31" s="66">
        <v>0</v>
      </c>
      <c r="E31" s="193"/>
      <c r="F31" s="66"/>
      <c r="G31" s="193"/>
      <c r="H31" s="196"/>
      <c r="K31" s="50"/>
      <c r="L31" s="50"/>
      <c r="M31" s="50"/>
      <c r="N31" s="50"/>
      <c r="O31" s="50"/>
      <c r="P31" s="50"/>
    </row>
    <row r="32" spans="1:18" x14ac:dyDescent="0.25">
      <c r="A32" s="209"/>
      <c r="B32" s="64" t="s">
        <v>275</v>
      </c>
      <c r="C32" s="65">
        <v>2.7</v>
      </c>
      <c r="D32" s="66">
        <v>1</v>
      </c>
      <c r="E32" s="193"/>
      <c r="F32" s="66">
        <f t="shared" si="1"/>
        <v>37037.037037037036</v>
      </c>
      <c r="G32" s="193"/>
      <c r="H32" s="196"/>
      <c r="K32" s="50"/>
      <c r="L32" s="50"/>
      <c r="M32" s="50"/>
      <c r="N32" s="50"/>
      <c r="O32" s="50"/>
      <c r="P32" s="50"/>
    </row>
    <row r="33" spans="1:21" x14ac:dyDescent="0.25">
      <c r="A33" s="208"/>
      <c r="B33" s="67" t="s">
        <v>278</v>
      </c>
      <c r="C33" s="68">
        <v>6</v>
      </c>
      <c r="D33" s="69">
        <v>8</v>
      </c>
      <c r="E33" s="194"/>
      <c r="F33" s="69">
        <f t="shared" si="1"/>
        <v>133333.33333333334</v>
      </c>
      <c r="G33" s="194"/>
      <c r="H33" s="197"/>
      <c r="K33" s="50"/>
      <c r="L33" s="50"/>
      <c r="M33" s="50"/>
      <c r="N33" s="50"/>
      <c r="O33" s="50"/>
      <c r="P33" s="50"/>
    </row>
    <row r="34" spans="1:21" x14ac:dyDescent="0.25">
      <c r="A34" s="70"/>
      <c r="C34" s="50"/>
      <c r="E34" s="51"/>
      <c r="F34" s="52"/>
      <c r="G34" s="163"/>
      <c r="H34" s="54"/>
      <c r="K34" s="50"/>
      <c r="L34" s="50"/>
      <c r="M34" s="50"/>
      <c r="N34" s="50"/>
      <c r="O34" s="50"/>
      <c r="P34" s="50"/>
    </row>
    <row r="35" spans="1:21" x14ac:dyDescent="0.25">
      <c r="A35" s="70"/>
      <c r="C35" s="50"/>
      <c r="E35" s="51"/>
      <c r="F35" s="52"/>
      <c r="G35" s="53"/>
      <c r="H35" s="54"/>
      <c r="K35" s="50"/>
      <c r="L35" s="50"/>
      <c r="M35" s="50"/>
      <c r="N35" s="50"/>
      <c r="O35" s="50"/>
      <c r="P35" s="50"/>
    </row>
    <row r="36" spans="1:21" x14ac:dyDescent="0.25">
      <c r="C36" s="50"/>
      <c r="E36" s="51"/>
      <c r="F36" s="52"/>
      <c r="G36" s="53"/>
      <c r="H36" s="54"/>
      <c r="K36" s="50"/>
      <c r="L36" s="50"/>
      <c r="M36" s="50"/>
      <c r="N36" s="50"/>
      <c r="O36" s="50"/>
      <c r="P36" s="50"/>
    </row>
    <row r="37" spans="1:21" x14ac:dyDescent="0.25">
      <c r="A37" s="104" t="s">
        <v>242</v>
      </c>
      <c r="B37" s="44"/>
      <c r="C37" s="45"/>
      <c r="D37" s="44"/>
      <c r="E37" s="46"/>
      <c r="F37" s="47"/>
      <c r="G37" s="48"/>
      <c r="H37" s="49"/>
      <c r="I37" s="44"/>
      <c r="J37" s="44"/>
      <c r="K37" s="45"/>
      <c r="L37" s="45"/>
      <c r="M37" s="45"/>
      <c r="N37" s="45"/>
      <c r="O37" s="45"/>
      <c r="P37" s="45"/>
      <c r="Q37" s="44"/>
      <c r="R37" s="44"/>
      <c r="S37" s="44"/>
      <c r="T37" s="44"/>
      <c r="U37" s="44"/>
    </row>
    <row r="38" spans="1:21" x14ac:dyDescent="0.25">
      <c r="C38" s="50"/>
      <c r="E38" s="51"/>
      <c r="F38" s="52"/>
      <c r="G38" s="53"/>
      <c r="H38" s="54"/>
      <c r="K38" s="50"/>
      <c r="L38" s="50"/>
      <c r="M38" s="50"/>
      <c r="N38" s="50"/>
      <c r="O38" s="50"/>
      <c r="P38" s="50"/>
    </row>
    <row r="39" spans="1:21" x14ac:dyDescent="0.25">
      <c r="A39" s="105"/>
      <c r="B39" s="105"/>
      <c r="C39" s="203" t="s">
        <v>238</v>
      </c>
      <c r="D39" s="203"/>
      <c r="E39" s="203"/>
      <c r="F39" s="204" t="s">
        <v>263</v>
      </c>
      <c r="G39" s="204"/>
      <c r="H39" s="198" t="s">
        <v>361</v>
      </c>
      <c r="K39" s="50"/>
      <c r="L39" s="50"/>
      <c r="M39" s="50"/>
      <c r="N39" s="50"/>
      <c r="O39" s="50"/>
      <c r="P39" s="50"/>
    </row>
    <row r="40" spans="1:21" x14ac:dyDescent="0.25">
      <c r="A40" s="105"/>
      <c r="B40" s="105"/>
      <c r="C40" s="199" t="s">
        <v>359</v>
      </c>
      <c r="D40" s="201" t="s">
        <v>360</v>
      </c>
      <c r="E40" s="201" t="s">
        <v>365</v>
      </c>
      <c r="F40" s="143" t="s">
        <v>362</v>
      </c>
      <c r="G40" s="143" t="s">
        <v>363</v>
      </c>
      <c r="H40" s="198"/>
      <c r="K40" s="50"/>
      <c r="L40" s="50"/>
      <c r="M40" s="50"/>
      <c r="N40" s="50"/>
      <c r="O40" s="50"/>
      <c r="P40" s="50"/>
    </row>
    <row r="41" spans="1:21" x14ac:dyDescent="0.25">
      <c r="A41" s="71" t="s">
        <v>324</v>
      </c>
      <c r="B41" s="107"/>
      <c r="C41" s="200"/>
      <c r="D41" s="202"/>
      <c r="E41" s="202"/>
      <c r="F41" s="166" t="s">
        <v>366</v>
      </c>
      <c r="G41" s="166" t="s">
        <v>367</v>
      </c>
      <c r="H41" s="106" t="s">
        <v>368</v>
      </c>
      <c r="J41" s="222" t="s">
        <v>371</v>
      </c>
      <c r="K41" s="222"/>
      <c r="L41" s="222"/>
      <c r="M41" s="222"/>
      <c r="N41" s="222"/>
      <c r="O41" s="222"/>
      <c r="P41" s="222"/>
    </row>
    <row r="42" spans="1:21" x14ac:dyDescent="0.25">
      <c r="A42" s="56" t="s">
        <v>233</v>
      </c>
      <c r="B42" s="56" t="s">
        <v>314</v>
      </c>
      <c r="C42" s="72">
        <v>30.7</v>
      </c>
      <c r="D42" s="56">
        <v>104</v>
      </c>
      <c r="E42" s="73">
        <f>D42</f>
        <v>104</v>
      </c>
      <c r="F42" s="69">
        <f>D42*100000/C42</f>
        <v>338762.21498371335</v>
      </c>
      <c r="G42" s="74">
        <f>F42</f>
        <v>338762.21498371335</v>
      </c>
      <c r="H42" s="60">
        <f>E42*100000/G42</f>
        <v>30.7</v>
      </c>
      <c r="K42" s="50" t="s">
        <v>377</v>
      </c>
      <c r="L42" s="108" t="s">
        <v>370</v>
      </c>
      <c r="M42" s="108" t="s">
        <v>243</v>
      </c>
      <c r="N42" s="50"/>
      <c r="O42" s="50" t="s">
        <v>370</v>
      </c>
      <c r="P42" s="93" t="s">
        <v>376</v>
      </c>
    </row>
    <row r="43" spans="1:21" x14ac:dyDescent="0.25">
      <c r="A43" s="224" t="s">
        <v>234</v>
      </c>
      <c r="B43" s="75" t="s">
        <v>315</v>
      </c>
      <c r="C43" s="76">
        <v>26.8</v>
      </c>
      <c r="D43" s="75">
        <v>11</v>
      </c>
      <c r="E43" s="245">
        <f>SUM(D43:D46)</f>
        <v>349</v>
      </c>
      <c r="F43" s="66">
        <f t="shared" ref="F43:F50" si="2">D43*100000/C43</f>
        <v>41044.776119402981</v>
      </c>
      <c r="G43" s="205">
        <f>SUM(F43:F46)</f>
        <v>1675118.5143250944</v>
      </c>
      <c r="H43" s="249">
        <f>E43*100000/G43</f>
        <v>20.834346765047378</v>
      </c>
      <c r="J43" s="42" t="s">
        <v>233</v>
      </c>
      <c r="K43" s="50">
        <f>(H42+H58)/2</f>
        <v>22.45</v>
      </c>
      <c r="L43" s="223">
        <f>(K43+K44+K45)/3</f>
        <v>19.947998357994781</v>
      </c>
      <c r="M43" s="50" t="s">
        <v>341</v>
      </c>
      <c r="N43" s="50">
        <v>5.6</v>
      </c>
      <c r="O43" s="223">
        <f>(N44+N43+N45)/3</f>
        <v>8.2666666666666657</v>
      </c>
      <c r="P43" s="50">
        <f>O43*K43/L43</f>
        <v>9.3035232576248443</v>
      </c>
    </row>
    <row r="44" spans="1:21" x14ac:dyDescent="0.25">
      <c r="A44" s="225"/>
      <c r="B44" s="75" t="s">
        <v>316</v>
      </c>
      <c r="C44" s="76">
        <v>14.9</v>
      </c>
      <c r="D44" s="75">
        <v>167</v>
      </c>
      <c r="E44" s="246"/>
      <c r="F44" s="66">
        <f t="shared" si="2"/>
        <v>1120805.3691275169</v>
      </c>
      <c r="G44" s="248"/>
      <c r="H44" s="250"/>
      <c r="J44" s="42" t="s">
        <v>234</v>
      </c>
      <c r="K44" s="50">
        <f>(H43+H60)/2</f>
        <v>22.958552904604236</v>
      </c>
      <c r="L44" s="223"/>
      <c r="M44" s="108" t="s">
        <v>342</v>
      </c>
      <c r="N44" s="50">
        <v>9.1</v>
      </c>
      <c r="O44" s="223"/>
      <c r="P44" s="50">
        <f>O43*K44/L43</f>
        <v>9.5142730917325586</v>
      </c>
    </row>
    <row r="45" spans="1:21" x14ac:dyDescent="0.25">
      <c r="A45" s="225"/>
      <c r="B45" s="75" t="s">
        <v>317</v>
      </c>
      <c r="C45" s="76">
        <v>12.7</v>
      </c>
      <c r="D45" s="75">
        <v>8</v>
      </c>
      <c r="E45" s="246"/>
      <c r="F45" s="66">
        <f t="shared" si="2"/>
        <v>62992.125984251972</v>
      </c>
      <c r="G45" s="248"/>
      <c r="H45" s="250"/>
      <c r="J45" s="42" t="s">
        <v>235</v>
      </c>
      <c r="K45" s="50">
        <f>(H47+H64)/2</f>
        <v>14.435442169380114</v>
      </c>
      <c r="L45" s="223"/>
      <c r="M45" s="124" t="s">
        <v>348</v>
      </c>
      <c r="N45" s="50">
        <v>10.1</v>
      </c>
      <c r="O45" s="223"/>
      <c r="P45" s="50">
        <f>K45*O43/L43</f>
        <v>5.9822036506425977</v>
      </c>
    </row>
    <row r="46" spans="1:21" x14ac:dyDescent="0.25">
      <c r="A46" s="226"/>
      <c r="B46" s="75" t="s">
        <v>318</v>
      </c>
      <c r="C46" s="110">
        <v>36.200000000000003</v>
      </c>
      <c r="D46" s="75">
        <v>163</v>
      </c>
      <c r="E46" s="247"/>
      <c r="F46" s="69">
        <f t="shared" si="2"/>
        <v>450276.24309392262</v>
      </c>
      <c r="G46" s="206"/>
      <c r="H46" s="251"/>
      <c r="K46" s="50"/>
      <c r="L46" s="50"/>
      <c r="O46" s="77"/>
      <c r="P46" s="50"/>
    </row>
    <row r="47" spans="1:21" x14ac:dyDescent="0.25">
      <c r="A47" s="207" t="s">
        <v>235</v>
      </c>
      <c r="B47" s="61" t="s">
        <v>319</v>
      </c>
      <c r="C47" s="78">
        <v>10.1</v>
      </c>
      <c r="D47" s="61">
        <v>110</v>
      </c>
      <c r="E47" s="240">
        <f>SUM(D47:D50)</f>
        <v>567</v>
      </c>
      <c r="F47" s="66">
        <f t="shared" si="2"/>
        <v>1089108.9108910891</v>
      </c>
      <c r="G47" s="192">
        <f>SUM(F47:F50)</f>
        <v>5250750.5777967591</v>
      </c>
      <c r="H47" s="195">
        <f>E47*100000/G47</f>
        <v>10.798456174963009</v>
      </c>
      <c r="K47" s="50"/>
      <c r="L47" s="50"/>
      <c r="M47" s="50"/>
      <c r="N47" s="50"/>
      <c r="O47" s="50"/>
      <c r="P47" s="50"/>
    </row>
    <row r="48" spans="1:21" x14ac:dyDescent="0.25">
      <c r="A48" s="209"/>
      <c r="B48" s="64" t="s">
        <v>320</v>
      </c>
      <c r="C48" s="79">
        <v>29.3</v>
      </c>
      <c r="D48" s="64">
        <v>149</v>
      </c>
      <c r="E48" s="242"/>
      <c r="F48" s="66">
        <f t="shared" si="2"/>
        <v>508532.42320819112</v>
      </c>
      <c r="G48" s="193"/>
      <c r="H48" s="196"/>
      <c r="J48" s="230" t="s">
        <v>349</v>
      </c>
      <c r="K48" s="231"/>
      <c r="L48" s="231"/>
      <c r="M48" s="231"/>
      <c r="N48" s="231"/>
      <c r="O48" s="231"/>
      <c r="P48" s="232"/>
    </row>
    <row r="49" spans="1:16" x14ac:dyDescent="0.25">
      <c r="A49" s="209"/>
      <c r="B49" s="64" t="s">
        <v>321</v>
      </c>
      <c r="C49" s="79">
        <v>11.9</v>
      </c>
      <c r="D49" s="64">
        <v>92</v>
      </c>
      <c r="E49" s="242"/>
      <c r="F49" s="66">
        <f t="shared" si="2"/>
        <v>773109.24369747902</v>
      </c>
      <c r="G49" s="193"/>
      <c r="H49" s="196"/>
      <c r="J49" s="233"/>
      <c r="K49" s="234"/>
      <c r="L49" s="234"/>
      <c r="M49" s="234"/>
      <c r="N49" s="234"/>
      <c r="O49" s="234"/>
      <c r="P49" s="235"/>
    </row>
    <row r="50" spans="1:16" x14ac:dyDescent="0.25">
      <c r="A50" s="208"/>
      <c r="B50" s="64" t="s">
        <v>322</v>
      </c>
      <c r="C50" s="79">
        <v>7.5</v>
      </c>
      <c r="D50" s="64">
        <v>216</v>
      </c>
      <c r="E50" s="241"/>
      <c r="F50" s="69">
        <f t="shared" si="2"/>
        <v>2880000</v>
      </c>
      <c r="G50" s="194"/>
      <c r="H50" s="197"/>
      <c r="J50" s="236"/>
      <c r="K50" s="237"/>
      <c r="L50" s="237"/>
      <c r="M50" s="237"/>
      <c r="N50" s="237"/>
      <c r="O50" s="237"/>
      <c r="P50" s="238"/>
    </row>
    <row r="51" spans="1:16" x14ac:dyDescent="0.25">
      <c r="A51" s="61"/>
      <c r="B51" s="61" t="s">
        <v>323</v>
      </c>
      <c r="C51" s="62"/>
      <c r="D51" s="61"/>
      <c r="E51" s="80"/>
      <c r="F51" s="66"/>
      <c r="G51" s="162"/>
      <c r="H51" s="81"/>
      <c r="K51" s="50"/>
      <c r="L51" s="50"/>
      <c r="M51" s="50"/>
      <c r="N51" s="50"/>
      <c r="O51" s="50"/>
      <c r="P51" s="50"/>
    </row>
    <row r="52" spans="1:16" x14ac:dyDescent="0.25">
      <c r="A52" s="64"/>
      <c r="B52" s="64"/>
      <c r="C52" s="65"/>
      <c r="D52" s="64"/>
      <c r="E52" s="82"/>
      <c r="F52" s="66"/>
      <c r="G52" s="83"/>
      <c r="H52" s="84"/>
      <c r="K52" s="50"/>
      <c r="L52" s="50"/>
      <c r="M52" s="50"/>
      <c r="N52" s="50"/>
      <c r="O52" s="50"/>
      <c r="P52" s="50"/>
    </row>
    <row r="53" spans="1:16" x14ac:dyDescent="0.25">
      <c r="A53" s="64"/>
      <c r="B53" s="64"/>
      <c r="C53" s="65"/>
      <c r="D53" s="64"/>
      <c r="E53" s="82"/>
      <c r="F53" s="66"/>
      <c r="G53" s="83"/>
      <c r="H53" s="84"/>
      <c r="K53" s="50"/>
      <c r="L53" s="50"/>
      <c r="M53" s="50"/>
      <c r="N53" s="50"/>
      <c r="O53" s="50"/>
      <c r="P53" s="50"/>
    </row>
    <row r="54" spans="1:16" x14ac:dyDescent="0.25">
      <c r="A54" s="64"/>
      <c r="B54" s="64"/>
      <c r="C54" s="65"/>
      <c r="D54" s="64"/>
      <c r="E54" s="82"/>
      <c r="F54" s="66"/>
      <c r="G54" s="85"/>
      <c r="H54" s="84"/>
      <c r="K54" s="50"/>
      <c r="L54" s="50"/>
      <c r="M54" s="50"/>
      <c r="N54" s="50"/>
      <c r="O54" s="50"/>
      <c r="P54" s="50"/>
    </row>
    <row r="55" spans="1:16" x14ac:dyDescent="0.25">
      <c r="A55" s="105"/>
      <c r="B55" s="105"/>
      <c r="C55" s="203" t="s">
        <v>238</v>
      </c>
      <c r="D55" s="203"/>
      <c r="E55" s="203"/>
      <c r="F55" s="204" t="s">
        <v>263</v>
      </c>
      <c r="G55" s="204"/>
      <c r="H55" s="198" t="s">
        <v>361</v>
      </c>
      <c r="K55" s="50"/>
      <c r="L55" s="50"/>
      <c r="M55" s="50"/>
      <c r="N55" s="50"/>
      <c r="O55" s="50"/>
      <c r="P55" s="50"/>
    </row>
    <row r="56" spans="1:16" x14ac:dyDescent="0.25">
      <c r="A56" s="105"/>
      <c r="B56" s="105"/>
      <c r="C56" s="199" t="s">
        <v>359</v>
      </c>
      <c r="D56" s="201" t="s">
        <v>360</v>
      </c>
      <c r="E56" s="201" t="s">
        <v>365</v>
      </c>
      <c r="F56" s="143" t="s">
        <v>362</v>
      </c>
      <c r="G56" s="143" t="s">
        <v>363</v>
      </c>
      <c r="H56" s="198"/>
      <c r="K56" s="50"/>
      <c r="L56" s="50"/>
      <c r="M56" s="50"/>
      <c r="N56" s="50"/>
      <c r="O56" s="50"/>
      <c r="P56" s="50"/>
    </row>
    <row r="57" spans="1:16" x14ac:dyDescent="0.25">
      <c r="A57" s="111" t="s">
        <v>325</v>
      </c>
      <c r="B57" s="111"/>
      <c r="C57" s="200"/>
      <c r="D57" s="202"/>
      <c r="E57" s="202"/>
      <c r="F57" s="166" t="s">
        <v>366</v>
      </c>
      <c r="G57" s="143" t="s">
        <v>367</v>
      </c>
      <c r="H57" s="106" t="s">
        <v>368</v>
      </c>
      <c r="K57" s="50"/>
      <c r="L57" s="50"/>
      <c r="M57" s="50"/>
      <c r="N57" s="50"/>
      <c r="O57" s="50"/>
      <c r="P57" s="50"/>
    </row>
    <row r="58" spans="1:16" x14ac:dyDescent="0.25">
      <c r="A58" s="210" t="s">
        <v>233</v>
      </c>
      <c r="B58" s="112" t="s">
        <v>264</v>
      </c>
      <c r="C58" s="62">
        <v>14.2</v>
      </c>
      <c r="D58" s="61">
        <v>4</v>
      </c>
      <c r="E58" s="240">
        <f>SUM(D58:D59)</f>
        <v>4</v>
      </c>
      <c r="F58" s="66">
        <f t="shared" ref="F58:F74" si="3">D58*100000/C58</f>
        <v>28169.014084507042</v>
      </c>
      <c r="G58" s="192">
        <f>SUM(F58:F59)</f>
        <v>28169.014084507042</v>
      </c>
      <c r="H58" s="195">
        <f>E58*100000/G58</f>
        <v>14.200000000000001</v>
      </c>
      <c r="K58" s="50"/>
      <c r="L58" s="50"/>
      <c r="M58" s="50"/>
      <c r="N58" s="50"/>
      <c r="O58" s="50"/>
      <c r="P58" s="50"/>
    </row>
    <row r="59" spans="1:16" x14ac:dyDescent="0.25">
      <c r="A59" s="211"/>
      <c r="B59" s="109" t="s">
        <v>265</v>
      </c>
      <c r="C59" s="50">
        <v>0.6</v>
      </c>
      <c r="D59" s="42">
        <v>0</v>
      </c>
      <c r="E59" s="241"/>
      <c r="F59" s="69">
        <f t="shared" si="3"/>
        <v>0</v>
      </c>
      <c r="G59" s="194"/>
      <c r="H59" s="197"/>
    </row>
    <row r="60" spans="1:16" x14ac:dyDescent="0.25">
      <c r="A60" s="210" t="s">
        <v>234</v>
      </c>
      <c r="B60" s="113" t="s">
        <v>266</v>
      </c>
      <c r="C60" s="62">
        <v>0.6</v>
      </c>
      <c r="D60" s="61">
        <v>0</v>
      </c>
      <c r="E60" s="240">
        <f>SUM(D60:D63)</f>
        <v>111</v>
      </c>
      <c r="F60" s="66">
        <f t="shared" si="3"/>
        <v>0</v>
      </c>
      <c r="G60" s="192">
        <f>SUM(F60:F63)</f>
        <v>442535.04889383056</v>
      </c>
      <c r="H60" s="195">
        <f>E60*100000/G60</f>
        <v>25.082759044161094</v>
      </c>
    </row>
    <row r="61" spans="1:16" x14ac:dyDescent="0.25">
      <c r="A61" s="212"/>
      <c r="B61" s="114" t="s">
        <v>267</v>
      </c>
      <c r="C61" s="65">
        <v>25.6</v>
      </c>
      <c r="D61" s="86">
        <v>87</v>
      </c>
      <c r="E61" s="242"/>
      <c r="F61" s="66">
        <f t="shared" si="3"/>
        <v>339843.75</v>
      </c>
      <c r="G61" s="193"/>
      <c r="H61" s="196"/>
    </row>
    <row r="62" spans="1:16" x14ac:dyDescent="0.25">
      <c r="A62" s="212"/>
      <c r="B62" s="109" t="s">
        <v>268</v>
      </c>
      <c r="C62" s="50">
        <v>22.2</v>
      </c>
      <c r="D62" s="86">
        <v>5</v>
      </c>
      <c r="E62" s="242"/>
      <c r="F62" s="66">
        <f t="shared" si="3"/>
        <v>22522.522522522522</v>
      </c>
      <c r="G62" s="193"/>
      <c r="H62" s="196"/>
    </row>
    <row r="63" spans="1:16" x14ac:dyDescent="0.25">
      <c r="A63" s="211"/>
      <c r="B63" s="109" t="s">
        <v>269</v>
      </c>
      <c r="C63" s="50">
        <v>23.7</v>
      </c>
      <c r="D63" s="86">
        <v>19</v>
      </c>
      <c r="E63" s="241"/>
      <c r="F63" s="69">
        <f t="shared" si="3"/>
        <v>80168.77637130802</v>
      </c>
      <c r="G63" s="194"/>
      <c r="H63" s="197"/>
    </row>
    <row r="64" spans="1:16" x14ac:dyDescent="0.25">
      <c r="A64" s="210" t="s">
        <v>235</v>
      </c>
      <c r="B64" s="113" t="s">
        <v>270</v>
      </c>
      <c r="C64" s="62">
        <v>24.6</v>
      </c>
      <c r="D64" s="61">
        <v>79</v>
      </c>
      <c r="E64" s="207">
        <f>SUM(D64:D74)</f>
        <v>198</v>
      </c>
      <c r="F64" s="66">
        <f t="shared" si="3"/>
        <v>321138.2113821138</v>
      </c>
      <c r="G64" s="227">
        <f>SUM(F64:F74)</f>
        <v>1095591.5730053068</v>
      </c>
      <c r="H64" s="253">
        <f>E64*100000/G64</f>
        <v>18.072428163797216</v>
      </c>
    </row>
    <row r="65" spans="1:21" x14ac:dyDescent="0.25">
      <c r="A65" s="212"/>
      <c r="B65" s="114" t="s">
        <v>271</v>
      </c>
      <c r="C65" s="65">
        <v>29.1</v>
      </c>
      <c r="D65" s="86">
        <v>32</v>
      </c>
      <c r="E65" s="209"/>
      <c r="F65" s="66">
        <f t="shared" si="3"/>
        <v>109965.63573883161</v>
      </c>
      <c r="G65" s="228"/>
      <c r="H65" s="254"/>
    </row>
    <row r="66" spans="1:21" x14ac:dyDescent="0.25">
      <c r="A66" s="212"/>
      <c r="B66" s="114" t="s">
        <v>272</v>
      </c>
      <c r="C66" s="65">
        <v>20.9</v>
      </c>
      <c r="D66" s="86">
        <v>15</v>
      </c>
      <c r="E66" s="209"/>
      <c r="F66" s="66">
        <f t="shared" si="3"/>
        <v>71770.334928229669</v>
      </c>
      <c r="G66" s="228"/>
      <c r="H66" s="254"/>
    </row>
    <row r="67" spans="1:21" x14ac:dyDescent="0.25">
      <c r="A67" s="212"/>
      <c r="B67" s="109" t="s">
        <v>273</v>
      </c>
      <c r="C67" s="50">
        <v>13.6</v>
      </c>
      <c r="D67" s="86">
        <v>10</v>
      </c>
      <c r="E67" s="209"/>
      <c r="F67" s="66">
        <f t="shared" si="3"/>
        <v>73529.411764705888</v>
      </c>
      <c r="G67" s="228"/>
      <c r="H67" s="254"/>
    </row>
    <row r="68" spans="1:21" x14ac:dyDescent="0.25">
      <c r="A68" s="212"/>
      <c r="B68" s="109" t="s">
        <v>274</v>
      </c>
      <c r="C68" s="50">
        <v>18.600000000000001</v>
      </c>
      <c r="D68" s="86">
        <v>27</v>
      </c>
      <c r="E68" s="209"/>
      <c r="F68" s="66">
        <f t="shared" si="3"/>
        <v>145161.29032258064</v>
      </c>
      <c r="G68" s="228"/>
      <c r="H68" s="254"/>
    </row>
    <row r="69" spans="1:21" x14ac:dyDescent="0.25">
      <c r="A69" s="212"/>
      <c r="B69" s="109" t="s">
        <v>275</v>
      </c>
      <c r="C69" s="50">
        <v>4.5</v>
      </c>
      <c r="D69" s="86">
        <v>3</v>
      </c>
      <c r="E69" s="209"/>
      <c r="F69" s="66">
        <f t="shared" si="3"/>
        <v>66666.666666666672</v>
      </c>
      <c r="G69" s="228"/>
      <c r="H69" s="254"/>
    </row>
    <row r="70" spans="1:21" x14ac:dyDescent="0.25">
      <c r="A70" s="212"/>
      <c r="B70" s="109" t="s">
        <v>276</v>
      </c>
      <c r="C70" s="50">
        <v>3</v>
      </c>
      <c r="D70" s="86">
        <v>4</v>
      </c>
      <c r="E70" s="209"/>
      <c r="F70" s="66">
        <f t="shared" si="3"/>
        <v>133333.33333333334</v>
      </c>
      <c r="G70" s="228"/>
      <c r="H70" s="254"/>
    </row>
    <row r="71" spans="1:21" x14ac:dyDescent="0.25">
      <c r="A71" s="212"/>
      <c r="B71" s="109" t="s">
        <v>277</v>
      </c>
      <c r="C71" s="50">
        <v>14.2</v>
      </c>
      <c r="D71" s="86">
        <v>14</v>
      </c>
      <c r="E71" s="209"/>
      <c r="F71" s="66">
        <f t="shared" si="3"/>
        <v>98591.549295774646</v>
      </c>
      <c r="G71" s="228"/>
      <c r="H71" s="254"/>
    </row>
    <row r="72" spans="1:21" x14ac:dyDescent="0.25">
      <c r="A72" s="212"/>
      <c r="B72" s="109" t="s">
        <v>278</v>
      </c>
      <c r="C72" s="50">
        <v>17.5</v>
      </c>
      <c r="D72" s="86">
        <v>13</v>
      </c>
      <c r="E72" s="209"/>
      <c r="F72" s="66">
        <f t="shared" si="3"/>
        <v>74285.71428571429</v>
      </c>
      <c r="G72" s="228"/>
      <c r="H72" s="254"/>
    </row>
    <row r="73" spans="1:21" x14ac:dyDescent="0.25">
      <c r="A73" s="212"/>
      <c r="B73" s="109" t="s">
        <v>279</v>
      </c>
      <c r="C73" s="50">
        <v>87</v>
      </c>
      <c r="D73" s="86">
        <v>1</v>
      </c>
      <c r="E73" s="209"/>
      <c r="F73" s="66">
        <f t="shared" si="3"/>
        <v>1149.4252873563219</v>
      </c>
      <c r="G73" s="228"/>
      <c r="H73" s="254"/>
    </row>
    <row r="74" spans="1:21" x14ac:dyDescent="0.25">
      <c r="A74" s="211"/>
      <c r="B74" s="109" t="s">
        <v>280</v>
      </c>
      <c r="C74" s="50">
        <v>0.3</v>
      </c>
      <c r="D74" s="86">
        <v>0</v>
      </c>
      <c r="E74" s="208"/>
      <c r="F74" s="69">
        <f t="shared" si="3"/>
        <v>0</v>
      </c>
      <c r="G74" s="229"/>
      <c r="H74" s="255"/>
    </row>
    <row r="75" spans="1:21" x14ac:dyDescent="0.25">
      <c r="A75" s="61"/>
      <c r="B75" s="61"/>
      <c r="C75" s="62"/>
      <c r="D75" s="61"/>
      <c r="E75" s="80"/>
      <c r="F75" s="66"/>
      <c r="G75" s="162"/>
      <c r="H75" s="81"/>
    </row>
    <row r="76" spans="1:21" x14ac:dyDescent="0.25">
      <c r="A76" s="64"/>
      <c r="B76" s="64"/>
      <c r="C76" s="65"/>
      <c r="D76" s="64"/>
      <c r="E76" s="82"/>
      <c r="F76" s="66"/>
      <c r="G76" s="85"/>
      <c r="H76" s="84"/>
    </row>
    <row r="78" spans="1:21" x14ac:dyDescent="0.25">
      <c r="A78" s="104" t="s">
        <v>252</v>
      </c>
      <c r="B78" s="44"/>
      <c r="C78" s="45"/>
      <c r="D78" s="44"/>
      <c r="E78" s="46"/>
      <c r="F78" s="47"/>
      <c r="G78" s="48"/>
      <c r="H78" s="49"/>
      <c r="I78" s="44"/>
      <c r="J78" s="44"/>
      <c r="K78" s="45"/>
      <c r="L78" s="45"/>
      <c r="M78" s="45"/>
      <c r="N78" s="45"/>
      <c r="O78" s="45"/>
      <c r="P78" s="45"/>
      <c r="Q78" s="44"/>
      <c r="R78" s="44"/>
      <c r="S78" s="44"/>
      <c r="T78" s="44"/>
      <c r="U78" s="44"/>
    </row>
    <row r="79" spans="1:21" x14ac:dyDescent="0.25">
      <c r="C79" s="50"/>
      <c r="E79" s="51"/>
      <c r="F79" s="52"/>
      <c r="G79" s="53"/>
      <c r="H79" s="54"/>
      <c r="K79" s="50"/>
      <c r="L79" s="50"/>
      <c r="M79" s="50"/>
      <c r="N79" s="50"/>
      <c r="O79" s="50"/>
      <c r="P79" s="50"/>
    </row>
    <row r="80" spans="1:21" x14ac:dyDescent="0.25">
      <c r="A80" s="105"/>
      <c r="B80" s="105"/>
      <c r="C80" s="203" t="s">
        <v>238</v>
      </c>
      <c r="D80" s="203"/>
      <c r="E80" s="203"/>
      <c r="F80" s="204" t="s">
        <v>263</v>
      </c>
      <c r="G80" s="204"/>
      <c r="H80" s="198" t="s">
        <v>361</v>
      </c>
      <c r="K80" s="50"/>
      <c r="L80" s="50"/>
      <c r="M80" s="50"/>
      <c r="N80" s="50"/>
      <c r="O80" s="50"/>
      <c r="P80" s="50"/>
    </row>
    <row r="81" spans="1:16" x14ac:dyDescent="0.25">
      <c r="A81" s="105"/>
      <c r="B81" s="105"/>
      <c r="C81" s="199" t="s">
        <v>359</v>
      </c>
      <c r="D81" s="201" t="s">
        <v>360</v>
      </c>
      <c r="E81" s="201" t="s">
        <v>365</v>
      </c>
      <c r="F81" s="143" t="s">
        <v>362</v>
      </c>
      <c r="G81" s="143" t="s">
        <v>363</v>
      </c>
      <c r="H81" s="198"/>
      <c r="K81" s="50"/>
      <c r="L81" s="50"/>
      <c r="M81" s="50"/>
      <c r="N81" s="50"/>
      <c r="O81" s="50"/>
      <c r="P81" s="50"/>
    </row>
    <row r="82" spans="1:16" x14ac:dyDescent="0.25">
      <c r="A82" s="107" t="s">
        <v>289</v>
      </c>
      <c r="B82" s="107"/>
      <c r="C82" s="200"/>
      <c r="D82" s="202"/>
      <c r="E82" s="202"/>
      <c r="F82" s="143" t="s">
        <v>366</v>
      </c>
      <c r="G82" s="143" t="s">
        <v>367</v>
      </c>
      <c r="H82" s="106" t="s">
        <v>368</v>
      </c>
      <c r="J82" s="222" t="s">
        <v>372</v>
      </c>
      <c r="K82" s="222"/>
      <c r="L82" s="222"/>
      <c r="M82" s="222"/>
      <c r="N82" s="222"/>
      <c r="O82" s="222"/>
      <c r="P82" s="222"/>
    </row>
    <row r="83" spans="1:16" x14ac:dyDescent="0.25">
      <c r="A83" s="210" t="s">
        <v>233</v>
      </c>
      <c r="B83" s="113" t="s">
        <v>264</v>
      </c>
      <c r="C83" s="62">
        <v>0</v>
      </c>
      <c r="D83" s="63">
        <v>0</v>
      </c>
      <c r="E83" s="192">
        <f>SUM(D83:D84)</f>
        <v>1</v>
      </c>
      <c r="F83" s="66"/>
      <c r="G83" s="192">
        <f>SUM(F83:F84)</f>
        <v>4166.666666666667</v>
      </c>
      <c r="H83" s="243">
        <f>E83*100000/G83</f>
        <v>24</v>
      </c>
      <c r="K83" s="50" t="s">
        <v>377</v>
      </c>
      <c r="L83" s="108"/>
      <c r="M83" s="108"/>
      <c r="N83" s="50"/>
      <c r="O83" s="50"/>
      <c r="P83" s="50"/>
    </row>
    <row r="84" spans="1:16" x14ac:dyDescent="0.25">
      <c r="A84" s="211"/>
      <c r="B84" s="115" t="s">
        <v>265</v>
      </c>
      <c r="C84" s="68">
        <v>24</v>
      </c>
      <c r="D84" s="69">
        <v>1</v>
      </c>
      <c r="E84" s="194"/>
      <c r="F84" s="69">
        <f>D84*100000/C84</f>
        <v>4166.666666666667</v>
      </c>
      <c r="G84" s="194"/>
      <c r="H84" s="244"/>
      <c r="J84" s="42" t="s">
        <v>233</v>
      </c>
      <c r="K84" s="50">
        <f>(H83+H107)/2</f>
        <v>13.025</v>
      </c>
      <c r="L84" s="77"/>
      <c r="M84" s="108"/>
      <c r="N84" s="50"/>
      <c r="O84" s="77"/>
      <c r="P84" s="50"/>
    </row>
    <row r="85" spans="1:16" x14ac:dyDescent="0.25">
      <c r="A85" s="210" t="s">
        <v>234</v>
      </c>
      <c r="B85" s="113" t="s">
        <v>266</v>
      </c>
      <c r="C85" s="62">
        <v>0</v>
      </c>
      <c r="D85" s="63">
        <v>0</v>
      </c>
      <c r="E85" s="192">
        <f>SUM(D85:D88)</f>
        <v>13</v>
      </c>
      <c r="F85" s="66"/>
      <c r="G85" s="192">
        <f>SUM(F85:F88)</f>
        <v>200000</v>
      </c>
      <c r="H85" s="243">
        <f>E85*100000/G85</f>
        <v>6.5</v>
      </c>
      <c r="J85" s="42" t="s">
        <v>234</v>
      </c>
      <c r="K85" s="50">
        <f>(H85+H108)/2</f>
        <v>14.941962606987353</v>
      </c>
      <c r="L85" s="77"/>
      <c r="M85" s="108"/>
      <c r="N85" s="50"/>
      <c r="O85" s="77"/>
      <c r="P85" s="50"/>
    </row>
    <row r="86" spans="1:16" x14ac:dyDescent="0.25">
      <c r="A86" s="212"/>
      <c r="B86" s="114" t="s">
        <v>267</v>
      </c>
      <c r="C86" s="65">
        <v>4</v>
      </c>
      <c r="D86" s="66">
        <v>3</v>
      </c>
      <c r="E86" s="193"/>
      <c r="F86" s="66">
        <f>D86*100000/C86</f>
        <v>75000</v>
      </c>
      <c r="G86" s="193"/>
      <c r="H86" s="252"/>
      <c r="J86" s="42" t="s">
        <v>235</v>
      </c>
      <c r="K86" s="50">
        <f>(H89+H113)/2</f>
        <v>12.316132633605237</v>
      </c>
      <c r="L86" s="77"/>
      <c r="M86" s="50"/>
      <c r="N86" s="50"/>
      <c r="O86" s="77"/>
      <c r="P86" s="50"/>
    </row>
    <row r="87" spans="1:16" x14ac:dyDescent="0.25">
      <c r="A87" s="212"/>
      <c r="B87" s="114" t="s">
        <v>268</v>
      </c>
      <c r="C87" s="65">
        <v>0</v>
      </c>
      <c r="D87" s="66">
        <v>0</v>
      </c>
      <c r="E87" s="193"/>
      <c r="F87" s="66"/>
      <c r="G87" s="193"/>
      <c r="H87" s="252"/>
      <c r="K87" s="50"/>
      <c r="L87" s="50"/>
      <c r="M87" s="50"/>
      <c r="N87" s="50"/>
      <c r="O87" s="50"/>
      <c r="P87" s="50"/>
    </row>
    <row r="88" spans="1:16" ht="15" customHeight="1" x14ac:dyDescent="0.25">
      <c r="A88" s="211"/>
      <c r="B88" s="115" t="s">
        <v>269</v>
      </c>
      <c r="C88" s="68">
        <v>8</v>
      </c>
      <c r="D88" s="69">
        <v>10</v>
      </c>
      <c r="E88" s="194"/>
      <c r="F88" s="69">
        <f>D88*100000/C88</f>
        <v>125000</v>
      </c>
      <c r="G88" s="194"/>
      <c r="H88" s="244"/>
      <c r="J88" s="230" t="s">
        <v>346</v>
      </c>
      <c r="K88" s="231"/>
      <c r="L88" s="231"/>
      <c r="M88" s="231"/>
      <c r="N88" s="231"/>
      <c r="O88" s="231"/>
      <c r="P88" s="232"/>
    </row>
    <row r="89" spans="1:16" x14ac:dyDescent="0.25">
      <c r="A89" s="210" t="s">
        <v>235</v>
      </c>
      <c r="B89" s="113" t="s">
        <v>270</v>
      </c>
      <c r="C89" s="62">
        <v>5</v>
      </c>
      <c r="D89" s="63">
        <v>5</v>
      </c>
      <c r="E89" s="227">
        <f>SUM(D89:D99)</f>
        <v>9</v>
      </c>
      <c r="F89" s="63">
        <f>D89*100000/C89</f>
        <v>100000</v>
      </c>
      <c r="G89" s="227">
        <f>SUM(F89:F99)</f>
        <v>176515.15151515152</v>
      </c>
      <c r="H89" s="253">
        <f>E89*100000/G89</f>
        <v>5.0987124463519313</v>
      </c>
      <c r="J89" s="233"/>
      <c r="K89" s="234"/>
      <c r="L89" s="234"/>
      <c r="M89" s="234"/>
      <c r="N89" s="234"/>
      <c r="O89" s="234"/>
      <c r="P89" s="235"/>
    </row>
    <row r="90" spans="1:16" x14ac:dyDescent="0.25">
      <c r="A90" s="212"/>
      <c r="B90" s="114" t="s">
        <v>271</v>
      </c>
      <c r="C90" s="65">
        <v>4</v>
      </c>
      <c r="D90" s="66">
        <v>1</v>
      </c>
      <c r="E90" s="228"/>
      <c r="F90" s="66">
        <f>D90*100000/C90</f>
        <v>25000</v>
      </c>
      <c r="G90" s="228"/>
      <c r="H90" s="254"/>
      <c r="J90" s="233"/>
      <c r="K90" s="234"/>
      <c r="L90" s="234"/>
      <c r="M90" s="234"/>
      <c r="N90" s="234"/>
      <c r="O90" s="234"/>
      <c r="P90" s="235"/>
    </row>
    <row r="91" spans="1:16" x14ac:dyDescent="0.25">
      <c r="A91" s="212"/>
      <c r="B91" s="114" t="s">
        <v>272</v>
      </c>
      <c r="C91" s="65">
        <v>11</v>
      </c>
      <c r="D91" s="66">
        <v>2</v>
      </c>
      <c r="E91" s="228"/>
      <c r="F91" s="66">
        <f>D91*100000/C91</f>
        <v>18181.81818181818</v>
      </c>
      <c r="G91" s="228"/>
      <c r="H91" s="254"/>
      <c r="J91" s="233"/>
      <c r="K91" s="234"/>
      <c r="L91" s="234"/>
      <c r="M91" s="234"/>
      <c r="N91" s="234"/>
      <c r="O91" s="234"/>
      <c r="P91" s="235"/>
    </row>
    <row r="92" spans="1:16" x14ac:dyDescent="0.25">
      <c r="A92" s="212"/>
      <c r="B92" s="114" t="s">
        <v>273</v>
      </c>
      <c r="C92" s="65">
        <v>0</v>
      </c>
      <c r="D92" s="66">
        <v>0</v>
      </c>
      <c r="E92" s="228"/>
      <c r="F92" s="66"/>
      <c r="G92" s="228"/>
      <c r="H92" s="254"/>
      <c r="J92" s="236"/>
      <c r="K92" s="237"/>
      <c r="L92" s="237"/>
      <c r="M92" s="237"/>
      <c r="N92" s="237"/>
      <c r="O92" s="237"/>
      <c r="P92" s="238"/>
    </row>
    <row r="93" spans="1:16" x14ac:dyDescent="0.25">
      <c r="A93" s="212"/>
      <c r="B93" s="114" t="s">
        <v>274</v>
      </c>
      <c r="C93" s="65">
        <v>3</v>
      </c>
      <c r="D93" s="66">
        <v>1</v>
      </c>
      <c r="E93" s="228"/>
      <c r="F93" s="66">
        <f>D93*100000/C93</f>
        <v>33333.333333333336</v>
      </c>
      <c r="G93" s="228"/>
      <c r="H93" s="254"/>
      <c r="K93" s="127"/>
      <c r="L93" s="127"/>
      <c r="M93" s="127"/>
      <c r="N93" s="127"/>
      <c r="O93" s="127"/>
      <c r="P93" s="127"/>
    </row>
    <row r="94" spans="1:16" x14ac:dyDescent="0.25">
      <c r="A94" s="212"/>
      <c r="B94" s="114" t="s">
        <v>275</v>
      </c>
      <c r="C94" s="65">
        <v>0</v>
      </c>
      <c r="D94" s="87">
        <v>0</v>
      </c>
      <c r="E94" s="228"/>
      <c r="F94" s="66"/>
      <c r="G94" s="228"/>
      <c r="H94" s="254"/>
      <c r="K94" s="50"/>
      <c r="L94" s="50"/>
      <c r="M94" s="50"/>
      <c r="N94" s="50"/>
      <c r="O94" s="50"/>
      <c r="P94" s="50"/>
    </row>
    <row r="95" spans="1:16" x14ac:dyDescent="0.25">
      <c r="A95" s="212"/>
      <c r="B95" s="114" t="s">
        <v>276</v>
      </c>
      <c r="C95" s="65">
        <v>0</v>
      </c>
      <c r="D95" s="87">
        <v>0</v>
      </c>
      <c r="E95" s="228"/>
      <c r="F95" s="66"/>
      <c r="G95" s="228"/>
      <c r="H95" s="254"/>
      <c r="J95" s="239"/>
      <c r="K95" s="239"/>
      <c r="L95" s="239"/>
      <c r="M95" s="239"/>
      <c r="N95" s="239"/>
      <c r="O95" s="239"/>
      <c r="P95" s="239"/>
    </row>
    <row r="96" spans="1:16" x14ac:dyDescent="0.25">
      <c r="A96" s="212"/>
      <c r="B96" s="114" t="s">
        <v>277</v>
      </c>
      <c r="C96" s="65">
        <v>0</v>
      </c>
      <c r="D96" s="87">
        <v>0</v>
      </c>
      <c r="E96" s="228"/>
      <c r="F96" s="66"/>
      <c r="G96" s="228"/>
      <c r="H96" s="254"/>
      <c r="J96" s="75"/>
      <c r="K96" s="93"/>
      <c r="L96" s="124"/>
      <c r="M96" s="124"/>
      <c r="N96" s="93"/>
      <c r="O96" s="93"/>
      <c r="P96" s="93"/>
    </row>
    <row r="97" spans="1:16" x14ac:dyDescent="0.25">
      <c r="A97" s="212"/>
      <c r="B97" s="114" t="s">
        <v>278</v>
      </c>
      <c r="C97" s="65">
        <v>0</v>
      </c>
      <c r="D97" s="87">
        <v>0</v>
      </c>
      <c r="E97" s="228"/>
      <c r="F97" s="66"/>
      <c r="G97" s="228"/>
      <c r="H97" s="254"/>
      <c r="J97" s="75"/>
      <c r="K97" s="93"/>
      <c r="L97" s="102"/>
      <c r="M97" s="124"/>
      <c r="N97" s="93"/>
      <c r="O97" s="102"/>
      <c r="P97" s="93"/>
    </row>
    <row r="98" spans="1:16" x14ac:dyDescent="0.25">
      <c r="A98" s="212"/>
      <c r="B98" s="114" t="s">
        <v>279</v>
      </c>
      <c r="C98" s="65">
        <v>0</v>
      </c>
      <c r="D98" s="87">
        <v>0</v>
      </c>
      <c r="E98" s="228"/>
      <c r="F98" s="66"/>
      <c r="G98" s="228"/>
      <c r="H98" s="254"/>
      <c r="J98" s="75"/>
      <c r="K98" s="93"/>
      <c r="L98" s="102"/>
      <c r="M98" s="124"/>
      <c r="N98" s="93"/>
      <c r="O98" s="102"/>
      <c r="P98" s="93"/>
    </row>
    <row r="99" spans="1:16" x14ac:dyDescent="0.25">
      <c r="A99" s="212"/>
      <c r="B99" s="114" t="s">
        <v>280</v>
      </c>
      <c r="C99" s="65">
        <v>0</v>
      </c>
      <c r="D99" s="66">
        <v>0</v>
      </c>
      <c r="E99" s="228"/>
      <c r="F99" s="66"/>
      <c r="G99" s="228"/>
      <c r="H99" s="254"/>
      <c r="J99" s="75"/>
      <c r="K99" s="93"/>
      <c r="L99" s="102"/>
      <c r="M99" s="93"/>
      <c r="N99" s="93"/>
      <c r="O99" s="102"/>
      <c r="P99" s="93"/>
    </row>
    <row r="100" spans="1:16" x14ac:dyDescent="0.25">
      <c r="A100" s="211"/>
      <c r="B100" s="115" t="s">
        <v>310</v>
      </c>
      <c r="C100" s="68">
        <v>0</v>
      </c>
      <c r="D100" s="69">
        <v>0</v>
      </c>
      <c r="E100" s="229"/>
      <c r="F100" s="69"/>
      <c r="G100" s="229"/>
      <c r="H100" s="255"/>
      <c r="J100" s="75"/>
      <c r="K100" s="93"/>
      <c r="L100" s="93"/>
      <c r="M100" s="93"/>
      <c r="N100" s="93"/>
      <c r="O100" s="93"/>
      <c r="P100" s="93"/>
    </row>
    <row r="101" spans="1:16" x14ac:dyDescent="0.25">
      <c r="A101" s="116"/>
      <c r="B101" s="114"/>
      <c r="C101" s="65"/>
      <c r="D101" s="66"/>
      <c r="E101" s="85"/>
      <c r="F101" s="66"/>
      <c r="G101" s="83"/>
      <c r="H101" s="88"/>
      <c r="K101" s="50"/>
      <c r="L101" s="50"/>
      <c r="M101" s="50"/>
      <c r="N101" s="50"/>
      <c r="O101" s="50"/>
      <c r="P101" s="50"/>
    </row>
    <row r="102" spans="1:16" x14ac:dyDescent="0.25">
      <c r="A102" s="116"/>
      <c r="B102" s="114"/>
      <c r="C102" s="65"/>
      <c r="D102" s="66"/>
      <c r="E102" s="85"/>
      <c r="F102" s="66"/>
      <c r="G102" s="85"/>
      <c r="H102" s="88"/>
      <c r="K102" s="50"/>
      <c r="L102" s="50"/>
      <c r="M102" s="50"/>
      <c r="N102" s="50"/>
      <c r="O102" s="50"/>
      <c r="P102" s="50"/>
    </row>
    <row r="103" spans="1:16" x14ac:dyDescent="0.25">
      <c r="A103" s="116"/>
      <c r="B103" s="114"/>
      <c r="C103" s="65"/>
      <c r="D103" s="64"/>
      <c r="E103" s="82"/>
      <c r="F103" s="66"/>
      <c r="G103" s="53"/>
      <c r="H103" s="84"/>
      <c r="K103" s="50"/>
      <c r="L103" s="50"/>
      <c r="M103" s="50"/>
      <c r="N103" s="50"/>
      <c r="O103" s="50"/>
      <c r="P103" s="50"/>
    </row>
    <row r="104" spans="1:16" x14ac:dyDescent="0.25">
      <c r="A104" s="105"/>
      <c r="B104" s="105"/>
      <c r="C104" s="203" t="s">
        <v>238</v>
      </c>
      <c r="D104" s="203"/>
      <c r="E104" s="203"/>
      <c r="F104" s="204" t="s">
        <v>263</v>
      </c>
      <c r="G104" s="204"/>
      <c r="H104" s="198" t="s">
        <v>361</v>
      </c>
      <c r="K104" s="50"/>
      <c r="L104" s="50"/>
      <c r="M104" s="50"/>
      <c r="N104" s="50"/>
      <c r="O104" s="50"/>
      <c r="P104" s="50"/>
    </row>
    <row r="105" spans="1:16" x14ac:dyDescent="0.25">
      <c r="A105" s="105"/>
      <c r="B105" s="105"/>
      <c r="C105" s="199" t="s">
        <v>359</v>
      </c>
      <c r="D105" s="201" t="s">
        <v>360</v>
      </c>
      <c r="E105" s="201" t="s">
        <v>365</v>
      </c>
      <c r="F105" s="143" t="s">
        <v>362</v>
      </c>
      <c r="G105" s="143" t="s">
        <v>363</v>
      </c>
      <c r="H105" s="198"/>
      <c r="K105" s="50"/>
      <c r="L105" s="50"/>
      <c r="M105" s="50"/>
      <c r="N105" s="50"/>
      <c r="O105" s="50"/>
      <c r="P105" s="50"/>
    </row>
    <row r="106" spans="1:16" x14ac:dyDescent="0.25">
      <c r="A106" s="105" t="s">
        <v>344</v>
      </c>
      <c r="B106" s="107"/>
      <c r="C106" s="200"/>
      <c r="D106" s="202"/>
      <c r="E106" s="202"/>
      <c r="F106" s="143" t="s">
        <v>366</v>
      </c>
      <c r="G106" s="143" t="s">
        <v>367</v>
      </c>
      <c r="H106" s="106" t="s">
        <v>368</v>
      </c>
      <c r="K106" s="50"/>
      <c r="L106" s="50"/>
      <c r="M106" s="50"/>
      <c r="N106" s="50"/>
      <c r="O106" s="50"/>
      <c r="P106" s="50"/>
    </row>
    <row r="107" spans="1:16" x14ac:dyDescent="0.25">
      <c r="A107" s="117" t="s">
        <v>233</v>
      </c>
      <c r="B107" s="117" t="s">
        <v>290</v>
      </c>
      <c r="C107" s="125">
        <v>2.0499999999999998</v>
      </c>
      <c r="D107" s="57">
        <v>2</v>
      </c>
      <c r="E107" s="59">
        <f>D107</f>
        <v>2</v>
      </c>
      <c r="F107" s="58">
        <f t="shared" ref="F107:F127" si="4">D107*100000/C107</f>
        <v>97560.975609756104</v>
      </c>
      <c r="G107" s="59">
        <f>F107</f>
        <v>97560.975609756104</v>
      </c>
      <c r="H107" s="60">
        <f>E107*100000/G107</f>
        <v>2.0499999999999998</v>
      </c>
      <c r="K107" s="50"/>
      <c r="L107" s="50"/>
      <c r="M107" s="50"/>
      <c r="N107" s="50"/>
      <c r="O107" s="50"/>
      <c r="P107" s="50"/>
    </row>
    <row r="108" spans="1:16" x14ac:dyDescent="0.25">
      <c r="A108" s="210" t="s">
        <v>234</v>
      </c>
      <c r="B108" s="114" t="s">
        <v>291</v>
      </c>
      <c r="C108" s="84">
        <v>51</v>
      </c>
      <c r="D108" s="65">
        <v>10</v>
      </c>
      <c r="E108" s="192">
        <f>SUM(D108:D112)</f>
        <v>540.5</v>
      </c>
      <c r="F108" s="66">
        <f t="shared" si="4"/>
        <v>19607.843137254902</v>
      </c>
      <c r="G108" s="192">
        <f>SUM(F108:F112)</f>
        <v>2311416.903082577</v>
      </c>
      <c r="H108" s="195">
        <f>E108*100000/G108</f>
        <v>23.383925213974706</v>
      </c>
      <c r="K108" s="50"/>
      <c r="L108" s="50"/>
      <c r="M108" s="50"/>
      <c r="N108" s="50"/>
      <c r="O108" s="50"/>
      <c r="P108" s="50"/>
    </row>
    <row r="109" spans="1:16" x14ac:dyDescent="0.25">
      <c r="A109" s="212"/>
      <c r="B109" s="114" t="s">
        <v>292</v>
      </c>
      <c r="C109" s="84">
        <v>22.85</v>
      </c>
      <c r="D109" s="65">
        <v>194</v>
      </c>
      <c r="E109" s="193"/>
      <c r="F109" s="66">
        <f t="shared" si="4"/>
        <v>849015.31728665205</v>
      </c>
      <c r="G109" s="193"/>
      <c r="H109" s="196"/>
      <c r="K109" s="50"/>
      <c r="L109" s="50"/>
      <c r="M109" s="50"/>
      <c r="N109" s="50"/>
      <c r="O109" s="50"/>
      <c r="P109" s="50"/>
    </row>
    <row r="110" spans="1:16" x14ac:dyDescent="0.25">
      <c r="A110" s="212"/>
      <c r="B110" s="114" t="s">
        <v>293</v>
      </c>
      <c r="C110" s="84">
        <v>40.85</v>
      </c>
      <c r="D110" s="65">
        <v>8.5</v>
      </c>
      <c r="E110" s="193"/>
      <c r="F110" s="66">
        <f t="shared" si="4"/>
        <v>20807.833537331702</v>
      </c>
      <c r="G110" s="193"/>
      <c r="H110" s="196"/>
      <c r="K110" s="50"/>
      <c r="L110" s="50"/>
      <c r="M110" s="50"/>
      <c r="N110" s="50"/>
      <c r="O110" s="50"/>
      <c r="P110" s="50"/>
    </row>
    <row r="111" spans="1:16" x14ac:dyDescent="0.25">
      <c r="A111" s="212"/>
      <c r="B111" s="114" t="s">
        <v>294</v>
      </c>
      <c r="C111" s="84">
        <v>54.65</v>
      </c>
      <c r="D111" s="65">
        <v>12.5</v>
      </c>
      <c r="E111" s="193"/>
      <c r="F111" s="66">
        <f t="shared" si="4"/>
        <v>22872.827081427266</v>
      </c>
      <c r="G111" s="193"/>
      <c r="H111" s="196"/>
      <c r="K111" s="50"/>
      <c r="L111" s="50"/>
      <c r="M111" s="50"/>
      <c r="N111" s="50"/>
      <c r="O111" s="50"/>
      <c r="P111" s="50"/>
    </row>
    <row r="112" spans="1:16" x14ac:dyDescent="0.25">
      <c r="A112" s="211"/>
      <c r="B112" s="115" t="s">
        <v>269</v>
      </c>
      <c r="C112" s="126">
        <v>22.55</v>
      </c>
      <c r="D112" s="68">
        <v>315.5</v>
      </c>
      <c r="E112" s="194"/>
      <c r="F112" s="69">
        <f t="shared" si="4"/>
        <v>1399113.0820399113</v>
      </c>
      <c r="G112" s="194"/>
      <c r="H112" s="197"/>
      <c r="K112" s="50"/>
      <c r="L112" s="50"/>
      <c r="M112" s="50"/>
      <c r="N112" s="50"/>
      <c r="O112" s="50"/>
      <c r="P112" s="50"/>
    </row>
    <row r="113" spans="1:16" x14ac:dyDescent="0.25">
      <c r="A113" s="210" t="s">
        <v>235</v>
      </c>
      <c r="B113" s="113" t="s">
        <v>295</v>
      </c>
      <c r="C113" s="81">
        <v>3.45</v>
      </c>
      <c r="D113" s="62">
        <v>48</v>
      </c>
      <c r="E113" s="192">
        <f>SUM(D113:D128)</f>
        <v>770</v>
      </c>
      <c r="F113" s="66">
        <f t="shared" si="4"/>
        <v>1391304.3478260869</v>
      </c>
      <c r="G113" s="192">
        <f>SUM(F113:F128)</f>
        <v>3941935.2283818526</v>
      </c>
      <c r="H113" s="195">
        <f>E113*100000/G113</f>
        <v>19.533552820858542</v>
      </c>
      <c r="K113" s="50"/>
      <c r="L113" s="50"/>
      <c r="M113" s="50"/>
      <c r="N113" s="50"/>
      <c r="O113" s="50"/>
      <c r="P113" s="50"/>
    </row>
    <row r="114" spans="1:16" x14ac:dyDescent="0.25">
      <c r="A114" s="212"/>
      <c r="B114" s="114" t="s">
        <v>296</v>
      </c>
      <c r="C114" s="84">
        <v>19.75</v>
      </c>
      <c r="D114" s="65">
        <v>150.5</v>
      </c>
      <c r="E114" s="193"/>
      <c r="F114" s="66">
        <f t="shared" si="4"/>
        <v>762025.31645569624</v>
      </c>
      <c r="G114" s="193"/>
      <c r="H114" s="196"/>
      <c r="K114" s="50"/>
      <c r="L114" s="50"/>
      <c r="M114" s="50"/>
      <c r="N114" s="50"/>
      <c r="O114" s="50"/>
      <c r="P114" s="50"/>
    </row>
    <row r="115" spans="1:16" x14ac:dyDescent="0.25">
      <c r="A115" s="212"/>
      <c r="B115" s="114" t="s">
        <v>297</v>
      </c>
      <c r="C115" s="84">
        <v>5.15</v>
      </c>
      <c r="D115" s="65">
        <v>9.5</v>
      </c>
      <c r="E115" s="193"/>
      <c r="F115" s="66">
        <f t="shared" si="4"/>
        <v>184466.01941747571</v>
      </c>
      <c r="G115" s="193"/>
      <c r="H115" s="196"/>
      <c r="K115" s="50"/>
      <c r="L115" s="50"/>
      <c r="M115" s="50"/>
      <c r="N115" s="50"/>
      <c r="O115" s="50"/>
      <c r="P115" s="50"/>
    </row>
    <row r="116" spans="1:16" x14ac:dyDescent="0.25">
      <c r="A116" s="212"/>
      <c r="B116" s="114" t="s">
        <v>298</v>
      </c>
      <c r="C116" s="84">
        <v>28.25</v>
      </c>
      <c r="D116" s="65">
        <v>8</v>
      </c>
      <c r="E116" s="193"/>
      <c r="F116" s="66">
        <f t="shared" si="4"/>
        <v>28318.58407079646</v>
      </c>
      <c r="G116" s="193"/>
      <c r="H116" s="196"/>
      <c r="K116" s="50"/>
      <c r="L116" s="50"/>
      <c r="M116" s="50"/>
      <c r="N116" s="50"/>
      <c r="O116" s="50"/>
      <c r="P116" s="50"/>
    </row>
    <row r="117" spans="1:16" x14ac:dyDescent="0.25">
      <c r="A117" s="212"/>
      <c r="B117" s="114" t="s">
        <v>299</v>
      </c>
      <c r="C117" s="84">
        <v>0</v>
      </c>
      <c r="D117" s="65">
        <v>1.5</v>
      </c>
      <c r="E117" s="193"/>
      <c r="F117" s="66"/>
      <c r="G117" s="193"/>
      <c r="H117" s="196"/>
      <c r="K117" s="50"/>
      <c r="L117" s="50"/>
      <c r="M117" s="50"/>
      <c r="N117" s="50"/>
      <c r="O117" s="50"/>
      <c r="P117" s="50"/>
    </row>
    <row r="118" spans="1:16" x14ac:dyDescent="0.25">
      <c r="A118" s="212"/>
      <c r="B118" s="114" t="s">
        <v>300</v>
      </c>
      <c r="C118" s="84">
        <v>0</v>
      </c>
      <c r="D118" s="65">
        <v>0.5</v>
      </c>
      <c r="E118" s="193"/>
      <c r="F118" s="66"/>
      <c r="G118" s="193"/>
      <c r="H118" s="196"/>
      <c r="K118" s="50"/>
      <c r="L118" s="50"/>
      <c r="M118" s="50"/>
      <c r="N118" s="50"/>
      <c r="O118" s="50"/>
      <c r="P118" s="50"/>
    </row>
    <row r="119" spans="1:16" x14ac:dyDescent="0.25">
      <c r="A119" s="212"/>
      <c r="B119" s="114" t="s">
        <v>301</v>
      </c>
      <c r="C119" s="84">
        <v>7.3</v>
      </c>
      <c r="D119" s="65">
        <v>28</v>
      </c>
      <c r="E119" s="193"/>
      <c r="F119" s="66">
        <f t="shared" si="4"/>
        <v>383561.64383561647</v>
      </c>
      <c r="G119" s="193"/>
      <c r="H119" s="196"/>
    </row>
    <row r="120" spans="1:16" x14ac:dyDescent="0.25">
      <c r="A120" s="212"/>
      <c r="B120" s="114" t="s">
        <v>302</v>
      </c>
      <c r="C120" s="84">
        <v>4.1500000000000004</v>
      </c>
      <c r="D120" s="65">
        <v>27</v>
      </c>
      <c r="E120" s="193"/>
      <c r="F120" s="66">
        <f t="shared" si="4"/>
        <v>650602.40963855421</v>
      </c>
      <c r="G120" s="193"/>
      <c r="H120" s="196"/>
    </row>
    <row r="121" spans="1:16" x14ac:dyDescent="0.25">
      <c r="A121" s="212"/>
      <c r="B121" s="114" t="s">
        <v>303</v>
      </c>
      <c r="C121" s="84">
        <v>4.9000000000000004</v>
      </c>
      <c r="D121" s="65">
        <v>1.5</v>
      </c>
      <c r="E121" s="193"/>
      <c r="F121" s="66">
        <f t="shared" si="4"/>
        <v>30612.244897959183</v>
      </c>
      <c r="G121" s="193"/>
      <c r="H121" s="196"/>
    </row>
    <row r="122" spans="1:16" x14ac:dyDescent="0.25">
      <c r="A122" s="212"/>
      <c r="B122" s="114" t="s">
        <v>304</v>
      </c>
      <c r="C122" s="84">
        <v>1.55</v>
      </c>
      <c r="D122" s="65">
        <v>3</v>
      </c>
      <c r="E122" s="193"/>
      <c r="F122" s="66">
        <f t="shared" si="4"/>
        <v>193548.38709677418</v>
      </c>
      <c r="G122" s="193"/>
      <c r="H122" s="196"/>
    </row>
    <row r="123" spans="1:16" x14ac:dyDescent="0.25">
      <c r="A123" s="212"/>
      <c r="B123" s="114" t="s">
        <v>305</v>
      </c>
      <c r="C123" s="84">
        <v>2.65</v>
      </c>
      <c r="D123" s="65">
        <v>1.5</v>
      </c>
      <c r="E123" s="193"/>
      <c r="F123" s="66">
        <f t="shared" si="4"/>
        <v>56603.773584905663</v>
      </c>
      <c r="G123" s="193"/>
      <c r="H123" s="196"/>
    </row>
    <row r="124" spans="1:16" x14ac:dyDescent="0.25">
      <c r="A124" s="212"/>
      <c r="B124" s="114" t="s">
        <v>306</v>
      </c>
      <c r="C124" s="84">
        <v>128.1</v>
      </c>
      <c r="D124" s="65">
        <v>58</v>
      </c>
      <c r="E124" s="193"/>
      <c r="F124" s="66">
        <f t="shared" si="4"/>
        <v>45277.127244340358</v>
      </c>
      <c r="G124" s="193"/>
      <c r="H124" s="196"/>
    </row>
    <row r="125" spans="1:16" x14ac:dyDescent="0.25">
      <c r="A125" s="212"/>
      <c r="B125" s="114" t="s">
        <v>307</v>
      </c>
      <c r="C125" s="84">
        <v>5.7</v>
      </c>
      <c r="D125" s="65">
        <v>12</v>
      </c>
      <c r="E125" s="193"/>
      <c r="F125" s="66">
        <f t="shared" si="4"/>
        <v>210526.31578947368</v>
      </c>
      <c r="G125" s="193"/>
      <c r="H125" s="196"/>
    </row>
    <row r="126" spans="1:16" x14ac:dyDescent="0.25">
      <c r="A126" s="212"/>
      <c r="B126" s="114" t="s">
        <v>308</v>
      </c>
      <c r="C126" s="84">
        <v>24.4</v>
      </c>
      <c r="D126" s="65">
        <v>0</v>
      </c>
      <c r="E126" s="193"/>
      <c r="F126" s="66">
        <f t="shared" si="4"/>
        <v>0</v>
      </c>
      <c r="G126" s="193"/>
      <c r="H126" s="196"/>
    </row>
    <row r="127" spans="1:16" x14ac:dyDescent="0.25">
      <c r="A127" s="212"/>
      <c r="B127" s="114" t="s">
        <v>309</v>
      </c>
      <c r="C127" s="84">
        <v>58.95</v>
      </c>
      <c r="D127" s="65">
        <v>3</v>
      </c>
      <c r="E127" s="193"/>
      <c r="F127" s="66">
        <f t="shared" si="4"/>
        <v>5089.0585241730278</v>
      </c>
      <c r="G127" s="193"/>
      <c r="H127" s="196"/>
    </row>
    <row r="128" spans="1:16" x14ac:dyDescent="0.25">
      <c r="A128" s="211"/>
      <c r="B128" s="115" t="s">
        <v>310</v>
      </c>
      <c r="C128" s="126"/>
      <c r="D128" s="68">
        <v>418</v>
      </c>
      <c r="E128" s="194"/>
      <c r="F128" s="69"/>
      <c r="G128" s="194"/>
      <c r="H128" s="197"/>
    </row>
    <row r="129" spans="1:21" x14ac:dyDescent="0.25">
      <c r="A129" s="116"/>
      <c r="B129" s="114"/>
      <c r="C129" s="65"/>
      <c r="D129" s="64"/>
      <c r="E129" s="82"/>
      <c r="F129" s="66"/>
      <c r="G129" s="83"/>
      <c r="H129" s="84"/>
    </row>
    <row r="130" spans="1:21" x14ac:dyDescent="0.25">
      <c r="C130" s="50"/>
      <c r="E130" s="51"/>
      <c r="F130" s="52"/>
      <c r="G130" s="53"/>
      <c r="H130" s="54"/>
      <c r="K130" s="50"/>
      <c r="L130" s="50"/>
      <c r="M130" s="50"/>
      <c r="N130" s="50"/>
      <c r="O130" s="50"/>
      <c r="P130" s="50"/>
    </row>
    <row r="132" spans="1:21" x14ac:dyDescent="0.25">
      <c r="A132" s="104" t="s">
        <v>253</v>
      </c>
      <c r="B132" s="44"/>
      <c r="C132" s="45"/>
      <c r="D132" s="44"/>
      <c r="E132" s="46"/>
      <c r="F132" s="47"/>
      <c r="G132" s="48"/>
      <c r="H132" s="49"/>
      <c r="I132" s="44"/>
      <c r="J132" s="44"/>
      <c r="K132" s="45"/>
      <c r="L132" s="45"/>
      <c r="M132" s="45"/>
      <c r="N132" s="45"/>
      <c r="O132" s="45"/>
      <c r="P132" s="45"/>
      <c r="Q132" s="44"/>
      <c r="R132" s="44"/>
      <c r="S132" s="44"/>
      <c r="T132" s="44"/>
      <c r="U132" s="44"/>
    </row>
    <row r="133" spans="1:21" x14ac:dyDescent="0.25">
      <c r="C133" s="50"/>
      <c r="E133" s="51"/>
      <c r="F133" s="52"/>
      <c r="G133" s="53"/>
      <c r="H133" s="54"/>
      <c r="K133" s="50"/>
      <c r="L133" s="50"/>
      <c r="M133" s="50"/>
      <c r="N133" s="50"/>
      <c r="O133" s="50"/>
      <c r="P133" s="50"/>
    </row>
    <row r="134" spans="1:21" x14ac:dyDescent="0.25">
      <c r="A134" s="105"/>
      <c r="B134" s="105"/>
      <c r="C134" s="203" t="s">
        <v>238</v>
      </c>
      <c r="D134" s="203"/>
      <c r="E134" s="203"/>
      <c r="F134" s="204" t="s">
        <v>263</v>
      </c>
      <c r="G134" s="204"/>
      <c r="H134" s="198" t="s">
        <v>361</v>
      </c>
      <c r="K134" s="50"/>
      <c r="L134" s="50"/>
      <c r="M134" s="50"/>
      <c r="N134" s="50"/>
      <c r="O134" s="50"/>
      <c r="P134" s="50"/>
    </row>
    <row r="135" spans="1:21" x14ac:dyDescent="0.25">
      <c r="A135" s="105"/>
      <c r="B135" s="105"/>
      <c r="C135" s="199" t="s">
        <v>359</v>
      </c>
      <c r="D135" s="201" t="s">
        <v>360</v>
      </c>
      <c r="E135" s="201" t="s">
        <v>365</v>
      </c>
      <c r="F135" s="143" t="s">
        <v>362</v>
      </c>
      <c r="G135" s="143" t="s">
        <v>363</v>
      </c>
      <c r="H135" s="198"/>
      <c r="K135" s="50"/>
      <c r="L135" s="50"/>
      <c r="M135" s="50"/>
      <c r="N135" s="50"/>
      <c r="O135" s="50"/>
      <c r="P135" s="50"/>
    </row>
    <row r="136" spans="1:21" x14ac:dyDescent="0.25">
      <c r="A136" s="107" t="s">
        <v>350</v>
      </c>
      <c r="B136" s="107"/>
      <c r="C136" s="200"/>
      <c r="D136" s="202"/>
      <c r="E136" s="202"/>
      <c r="F136" s="143" t="s">
        <v>366</v>
      </c>
      <c r="G136" s="143" t="s">
        <v>367</v>
      </c>
      <c r="H136" s="106" t="s">
        <v>368</v>
      </c>
      <c r="J136" s="222" t="s">
        <v>373</v>
      </c>
      <c r="K136" s="222"/>
      <c r="L136" s="222"/>
      <c r="M136" s="222"/>
      <c r="N136" s="222"/>
      <c r="O136" s="222"/>
      <c r="P136" s="222"/>
    </row>
    <row r="137" spans="1:21" x14ac:dyDescent="0.25">
      <c r="A137" s="212" t="s">
        <v>233</v>
      </c>
      <c r="B137" s="114" t="s">
        <v>264</v>
      </c>
      <c r="C137" s="65">
        <v>10.4</v>
      </c>
      <c r="D137" s="66">
        <v>4</v>
      </c>
      <c r="E137" s="193">
        <f>SUM(D137:D138)</f>
        <v>7</v>
      </c>
      <c r="F137" s="66">
        <f>D137*100000/C137</f>
        <v>38461.538461538461</v>
      </c>
      <c r="G137" s="193">
        <f>SUM(F137:F138)</f>
        <v>41878.394953565796</v>
      </c>
      <c r="H137" s="196">
        <f>E137*100000/G137</f>
        <v>16.715062761506278</v>
      </c>
      <c r="K137" s="50" t="s">
        <v>377</v>
      </c>
      <c r="L137" s="108"/>
      <c r="M137" s="108"/>
      <c r="N137" s="50"/>
      <c r="O137" s="50"/>
      <c r="P137" s="50"/>
    </row>
    <row r="138" spans="1:21" x14ac:dyDescent="0.25">
      <c r="A138" s="211"/>
      <c r="B138" s="115" t="s">
        <v>265</v>
      </c>
      <c r="C138" s="68">
        <v>87.8</v>
      </c>
      <c r="D138" s="69">
        <v>3</v>
      </c>
      <c r="E138" s="194"/>
      <c r="F138" s="69">
        <f>D138*100000/C138</f>
        <v>3416.8564920273348</v>
      </c>
      <c r="G138" s="194"/>
      <c r="H138" s="197"/>
      <c r="J138" s="42" t="s">
        <v>233</v>
      </c>
      <c r="K138" s="50">
        <f>(H137+H160+H187+H215+H237+H265+H292+H318+H347)/9</f>
        <v>15.730459770403465</v>
      </c>
      <c r="L138" s="77"/>
      <c r="M138" s="108"/>
      <c r="N138" s="50"/>
      <c r="O138" s="77"/>
      <c r="P138" s="50"/>
    </row>
    <row r="139" spans="1:21" x14ac:dyDescent="0.25">
      <c r="A139" s="210" t="s">
        <v>234</v>
      </c>
      <c r="B139" s="113" t="s">
        <v>266</v>
      </c>
      <c r="C139" s="62">
        <v>0</v>
      </c>
      <c r="D139" s="63">
        <v>0</v>
      </c>
      <c r="E139" s="192">
        <f>SUM(D138:D142)</f>
        <v>47</v>
      </c>
      <c r="F139" s="66"/>
      <c r="G139" s="192">
        <f>SUM(F138:F142)</f>
        <v>416117.05951481103</v>
      </c>
      <c r="H139" s="195">
        <f>E139*100000/G139</f>
        <v>11.294898616942454</v>
      </c>
      <c r="J139" s="42" t="s">
        <v>234</v>
      </c>
      <c r="K139" s="50">
        <f>(H139+H161+H188+H217+H238+H266+H293+H319+H349)/9</f>
        <v>10.287866849834204</v>
      </c>
      <c r="L139" s="77"/>
      <c r="M139" s="108"/>
      <c r="N139" s="50"/>
      <c r="O139" s="77"/>
      <c r="P139" s="50"/>
    </row>
    <row r="140" spans="1:21" x14ac:dyDescent="0.25">
      <c r="A140" s="212"/>
      <c r="B140" s="114" t="s">
        <v>267</v>
      </c>
      <c r="C140" s="65">
        <v>3.1</v>
      </c>
      <c r="D140" s="66">
        <v>9</v>
      </c>
      <c r="E140" s="193"/>
      <c r="F140" s="66">
        <f t="shared" ref="F140:F151" si="5">D140*100000/C140</f>
        <v>290322.58064516127</v>
      </c>
      <c r="G140" s="193"/>
      <c r="H140" s="196"/>
      <c r="J140" s="42" t="s">
        <v>235</v>
      </c>
      <c r="K140" s="50">
        <f>(H143+H166+H193+H221+H243+H271+H298+H324+H353)/9</f>
        <v>5.5103950179535808</v>
      </c>
      <c r="L140" s="77"/>
      <c r="M140" s="108"/>
      <c r="N140" s="50"/>
      <c r="O140" s="77"/>
      <c r="P140" s="50"/>
    </row>
    <row r="141" spans="1:21" x14ac:dyDescent="0.25">
      <c r="A141" s="212"/>
      <c r="B141" s="114" t="s">
        <v>268</v>
      </c>
      <c r="C141" s="65">
        <v>0</v>
      </c>
      <c r="D141" s="66">
        <v>0</v>
      </c>
      <c r="E141" s="193"/>
      <c r="F141" s="66"/>
      <c r="G141" s="193"/>
      <c r="H141" s="196"/>
      <c r="K141" s="50"/>
      <c r="L141" s="50"/>
      <c r="M141" s="50"/>
      <c r="N141" s="50"/>
      <c r="O141" s="50"/>
      <c r="P141" s="50"/>
    </row>
    <row r="142" spans="1:21" x14ac:dyDescent="0.25">
      <c r="A142" s="211"/>
      <c r="B142" s="115" t="s">
        <v>269</v>
      </c>
      <c r="C142" s="68">
        <v>28.6</v>
      </c>
      <c r="D142" s="69">
        <v>35</v>
      </c>
      <c r="E142" s="194"/>
      <c r="F142" s="69">
        <f t="shared" si="5"/>
        <v>122377.62237762238</v>
      </c>
      <c r="G142" s="194"/>
      <c r="H142" s="197"/>
      <c r="J142" s="133"/>
      <c r="K142" s="133"/>
      <c r="L142" s="133"/>
      <c r="M142" s="133"/>
      <c r="N142" s="133"/>
      <c r="O142" s="133"/>
      <c r="P142" s="133"/>
    </row>
    <row r="143" spans="1:21" ht="15" customHeight="1" x14ac:dyDescent="0.25">
      <c r="A143" s="210" t="s">
        <v>235</v>
      </c>
      <c r="B143" s="113" t="s">
        <v>270</v>
      </c>
      <c r="C143" s="62">
        <v>2</v>
      </c>
      <c r="D143" s="63">
        <v>5</v>
      </c>
      <c r="E143" s="192">
        <f>SUM(D143:D156)</f>
        <v>28</v>
      </c>
      <c r="F143" s="63">
        <f t="shared" si="5"/>
        <v>250000</v>
      </c>
      <c r="G143" s="192">
        <f>SUM(F143:F156)</f>
        <v>937214.13370428153</v>
      </c>
      <c r="H143" s="195">
        <f>E143*100000/G143</f>
        <v>2.9875776509399952</v>
      </c>
      <c r="J143" s="230" t="s">
        <v>354</v>
      </c>
      <c r="K143" s="231"/>
      <c r="L143" s="231"/>
      <c r="M143" s="231"/>
      <c r="N143" s="231"/>
      <c r="O143" s="231"/>
      <c r="P143" s="232"/>
    </row>
    <row r="144" spans="1:21" x14ac:dyDescent="0.25">
      <c r="A144" s="212"/>
      <c r="B144" s="114" t="s">
        <v>271</v>
      </c>
      <c r="C144" s="65">
        <v>2.9</v>
      </c>
      <c r="D144" s="66">
        <v>2</v>
      </c>
      <c r="E144" s="193"/>
      <c r="F144" s="66">
        <f t="shared" si="5"/>
        <v>68965.517241379319</v>
      </c>
      <c r="G144" s="193"/>
      <c r="H144" s="196"/>
      <c r="J144" s="233"/>
      <c r="K144" s="234"/>
      <c r="L144" s="234"/>
      <c r="M144" s="234"/>
      <c r="N144" s="234"/>
      <c r="O144" s="234"/>
      <c r="P144" s="235"/>
    </row>
    <row r="145" spans="1:16" ht="15" customHeight="1" x14ac:dyDescent="0.25">
      <c r="A145" s="212"/>
      <c r="B145" s="114" t="s">
        <v>272</v>
      </c>
      <c r="C145" s="65">
        <v>9.1</v>
      </c>
      <c r="D145" s="66">
        <v>8</v>
      </c>
      <c r="E145" s="193"/>
      <c r="F145" s="66">
        <f t="shared" si="5"/>
        <v>87912.087912087911</v>
      </c>
      <c r="G145" s="193"/>
      <c r="H145" s="196"/>
      <c r="J145" s="233"/>
      <c r="K145" s="234"/>
      <c r="L145" s="234"/>
      <c r="M145" s="234"/>
      <c r="N145" s="234"/>
      <c r="O145" s="234"/>
      <c r="P145" s="235"/>
    </row>
    <row r="146" spans="1:16" x14ac:dyDescent="0.25">
      <c r="A146" s="212"/>
      <c r="B146" s="114" t="s">
        <v>273</v>
      </c>
      <c r="C146" s="65">
        <v>4.9000000000000004</v>
      </c>
      <c r="D146" s="66">
        <v>2</v>
      </c>
      <c r="E146" s="193"/>
      <c r="F146" s="66">
        <f t="shared" si="5"/>
        <v>40816.326530612241</v>
      </c>
      <c r="G146" s="193"/>
      <c r="H146" s="196"/>
      <c r="J146" s="233"/>
      <c r="K146" s="234"/>
      <c r="L146" s="234"/>
      <c r="M146" s="234"/>
      <c r="N146" s="234"/>
      <c r="O146" s="234"/>
      <c r="P146" s="235"/>
    </row>
    <row r="147" spans="1:16" x14ac:dyDescent="0.25">
      <c r="A147" s="212"/>
      <c r="B147" s="114" t="s">
        <v>274</v>
      </c>
      <c r="C147" s="65">
        <v>1.6</v>
      </c>
      <c r="D147" s="66">
        <v>2</v>
      </c>
      <c r="E147" s="193"/>
      <c r="F147" s="66">
        <f t="shared" si="5"/>
        <v>125000</v>
      </c>
      <c r="G147" s="193"/>
      <c r="H147" s="196"/>
      <c r="J147" s="233"/>
      <c r="K147" s="234"/>
      <c r="L147" s="234"/>
      <c r="M147" s="234"/>
      <c r="N147" s="234"/>
      <c r="O147" s="234"/>
      <c r="P147" s="235"/>
    </row>
    <row r="148" spans="1:16" x14ac:dyDescent="0.25">
      <c r="A148" s="212"/>
      <c r="B148" s="114" t="s">
        <v>275</v>
      </c>
      <c r="C148" s="65">
        <v>4.5</v>
      </c>
      <c r="D148" s="66">
        <v>5</v>
      </c>
      <c r="E148" s="193"/>
      <c r="F148" s="66">
        <f t="shared" si="5"/>
        <v>111111.11111111111</v>
      </c>
      <c r="G148" s="193"/>
      <c r="H148" s="196"/>
      <c r="J148" s="233"/>
      <c r="K148" s="234"/>
      <c r="L148" s="234"/>
      <c r="M148" s="234"/>
      <c r="N148" s="234"/>
      <c r="O148" s="234"/>
      <c r="P148" s="235"/>
    </row>
    <row r="149" spans="1:16" x14ac:dyDescent="0.25">
      <c r="A149" s="212"/>
      <c r="B149" s="114" t="s">
        <v>276</v>
      </c>
      <c r="C149" s="65">
        <v>1</v>
      </c>
      <c r="D149" s="66">
        <v>1</v>
      </c>
      <c r="E149" s="193"/>
      <c r="F149" s="66">
        <f t="shared" si="5"/>
        <v>100000</v>
      </c>
      <c r="G149" s="193"/>
      <c r="H149" s="196"/>
      <c r="J149" s="233"/>
      <c r="K149" s="234"/>
      <c r="L149" s="234"/>
      <c r="M149" s="234"/>
      <c r="N149" s="234"/>
      <c r="O149" s="234"/>
      <c r="P149" s="235"/>
    </row>
    <row r="150" spans="1:16" x14ac:dyDescent="0.25">
      <c r="A150" s="212"/>
      <c r="B150" s="114" t="s">
        <v>277</v>
      </c>
      <c r="C150" s="65">
        <v>1.1000000000000001</v>
      </c>
      <c r="D150" s="66">
        <v>1</v>
      </c>
      <c r="E150" s="193"/>
      <c r="F150" s="66">
        <f t="shared" si="5"/>
        <v>90909.090909090897</v>
      </c>
      <c r="G150" s="193"/>
      <c r="H150" s="196"/>
      <c r="J150" s="236"/>
      <c r="K150" s="237"/>
      <c r="L150" s="237"/>
      <c r="M150" s="237"/>
      <c r="N150" s="237"/>
      <c r="O150" s="237"/>
      <c r="P150" s="238"/>
    </row>
    <row r="151" spans="1:16" x14ac:dyDescent="0.25">
      <c r="A151" s="212"/>
      <c r="B151" s="114" t="s">
        <v>278</v>
      </c>
      <c r="C151" s="65">
        <v>3.2</v>
      </c>
      <c r="D151" s="66">
        <v>2</v>
      </c>
      <c r="E151" s="193"/>
      <c r="F151" s="66">
        <f t="shared" si="5"/>
        <v>62500</v>
      </c>
      <c r="G151" s="193"/>
      <c r="H151" s="196"/>
    </row>
    <row r="152" spans="1:16" x14ac:dyDescent="0.25">
      <c r="A152" s="212"/>
      <c r="B152" s="114" t="s">
        <v>279</v>
      </c>
      <c r="C152" s="65">
        <v>0</v>
      </c>
      <c r="D152" s="66">
        <v>0</v>
      </c>
      <c r="E152" s="193"/>
      <c r="F152" s="66"/>
      <c r="G152" s="193"/>
      <c r="H152" s="196"/>
    </row>
    <row r="153" spans="1:16" x14ac:dyDescent="0.25">
      <c r="A153" s="211"/>
      <c r="B153" s="115" t="s">
        <v>280</v>
      </c>
      <c r="C153" s="68">
        <v>0</v>
      </c>
      <c r="D153" s="69">
        <v>0</v>
      </c>
      <c r="E153" s="194"/>
      <c r="F153" s="69"/>
      <c r="G153" s="194"/>
      <c r="H153" s="197"/>
    </row>
    <row r="154" spans="1:16" x14ac:dyDescent="0.25">
      <c r="A154" s="161"/>
      <c r="B154" s="114"/>
      <c r="C154" s="65"/>
      <c r="D154" s="66"/>
      <c r="E154" s="160"/>
      <c r="F154" s="66"/>
      <c r="G154" s="160"/>
      <c r="H154" s="159"/>
    </row>
    <row r="155" spans="1:16" x14ac:dyDescent="0.25">
      <c r="A155" s="118"/>
      <c r="B155" s="114"/>
      <c r="C155" s="65"/>
      <c r="D155" s="79"/>
      <c r="E155" s="100"/>
      <c r="F155" s="66"/>
      <c r="G155" s="165"/>
      <c r="H155" s="130"/>
    </row>
    <row r="156" spans="1:16" x14ac:dyDescent="0.25">
      <c r="A156" s="118"/>
      <c r="B156" s="114"/>
      <c r="C156" s="65"/>
      <c r="D156" s="66"/>
      <c r="E156" s="100"/>
      <c r="F156" s="66"/>
      <c r="G156" s="100"/>
      <c r="H156" s="130"/>
    </row>
    <row r="157" spans="1:16" x14ac:dyDescent="0.25">
      <c r="A157" s="105"/>
      <c r="B157" s="105"/>
      <c r="C157" s="203" t="s">
        <v>238</v>
      </c>
      <c r="D157" s="203"/>
      <c r="E157" s="203"/>
      <c r="F157" s="204" t="s">
        <v>263</v>
      </c>
      <c r="G157" s="204"/>
      <c r="H157" s="198" t="s">
        <v>361</v>
      </c>
    </row>
    <row r="158" spans="1:16" x14ac:dyDescent="0.25">
      <c r="A158" s="105"/>
      <c r="B158" s="105"/>
      <c r="C158" s="199" t="s">
        <v>359</v>
      </c>
      <c r="D158" s="201" t="s">
        <v>360</v>
      </c>
      <c r="E158" s="201" t="s">
        <v>365</v>
      </c>
      <c r="F158" s="143" t="s">
        <v>362</v>
      </c>
      <c r="G158" s="143" t="s">
        <v>363</v>
      </c>
      <c r="H158" s="198"/>
    </row>
    <row r="159" spans="1:16" x14ac:dyDescent="0.25">
      <c r="A159" s="107" t="s">
        <v>351</v>
      </c>
      <c r="B159" s="107"/>
      <c r="C159" s="200"/>
      <c r="D159" s="202"/>
      <c r="E159" s="202"/>
      <c r="F159" s="143" t="s">
        <v>366</v>
      </c>
      <c r="G159" s="143" t="s">
        <v>367</v>
      </c>
      <c r="H159" s="106" t="s">
        <v>368</v>
      </c>
    </row>
    <row r="160" spans="1:16" x14ac:dyDescent="0.25">
      <c r="A160" s="56" t="s">
        <v>233</v>
      </c>
      <c r="B160" s="56" t="s">
        <v>290</v>
      </c>
      <c r="C160" s="57">
        <v>11.6</v>
      </c>
      <c r="D160" s="58">
        <v>14</v>
      </c>
      <c r="E160" s="58">
        <f>D160</f>
        <v>14</v>
      </c>
      <c r="F160" s="58">
        <f>D160*100000/C160</f>
        <v>120689.6551724138</v>
      </c>
      <c r="G160" s="58">
        <f>F160</f>
        <v>120689.6551724138</v>
      </c>
      <c r="H160" s="57">
        <f>E160*100000/G160</f>
        <v>11.6</v>
      </c>
    </row>
    <row r="161" spans="1:8" x14ac:dyDescent="0.25">
      <c r="A161" s="207" t="s">
        <v>234</v>
      </c>
      <c r="B161" s="61" t="s">
        <v>291</v>
      </c>
      <c r="C161" s="62">
        <v>10.5</v>
      </c>
      <c r="D161" s="63">
        <v>4</v>
      </c>
      <c r="E161" s="192">
        <f>SUM(D161:D165)</f>
        <v>59</v>
      </c>
      <c r="F161" s="63">
        <f t="shared" ref="F161:F175" si="6">D161*100000/C161</f>
        <v>38095.238095238092</v>
      </c>
      <c r="G161" s="192">
        <f>SUM(F161:F165)</f>
        <v>1508338.3670592974</v>
      </c>
      <c r="H161" s="195">
        <f>E161*100000/G161</f>
        <v>3.9115891558886884</v>
      </c>
    </row>
    <row r="162" spans="1:8" x14ac:dyDescent="0.25">
      <c r="A162" s="209"/>
      <c r="B162" s="64" t="s">
        <v>292</v>
      </c>
      <c r="C162" s="65">
        <v>2.4</v>
      </c>
      <c r="D162" s="66">
        <v>27</v>
      </c>
      <c r="E162" s="193"/>
      <c r="F162" s="66">
        <f t="shared" si="6"/>
        <v>1125000</v>
      </c>
      <c r="G162" s="193"/>
      <c r="H162" s="196"/>
    </row>
    <row r="163" spans="1:8" x14ac:dyDescent="0.25">
      <c r="A163" s="209"/>
      <c r="B163" s="64" t="s">
        <v>293</v>
      </c>
      <c r="C163" s="65">
        <v>0</v>
      </c>
      <c r="D163" s="66">
        <v>0</v>
      </c>
      <c r="E163" s="193"/>
      <c r="F163" s="66"/>
      <c r="G163" s="193"/>
      <c r="H163" s="196"/>
    </row>
    <row r="164" spans="1:8" x14ac:dyDescent="0.25">
      <c r="A164" s="209"/>
      <c r="B164" s="64" t="s">
        <v>294</v>
      </c>
      <c r="C164" s="65">
        <v>5.5</v>
      </c>
      <c r="D164" s="66">
        <v>3</v>
      </c>
      <c r="E164" s="193"/>
      <c r="F164" s="66">
        <f t="shared" si="6"/>
        <v>54545.454545454544</v>
      </c>
      <c r="G164" s="193"/>
      <c r="H164" s="196"/>
    </row>
    <row r="165" spans="1:8" x14ac:dyDescent="0.25">
      <c r="A165" s="208"/>
      <c r="B165" s="67" t="s">
        <v>269</v>
      </c>
      <c r="C165" s="68">
        <v>8.6</v>
      </c>
      <c r="D165" s="69">
        <v>25</v>
      </c>
      <c r="E165" s="194"/>
      <c r="F165" s="69">
        <f t="shared" si="6"/>
        <v>290697.67441860464</v>
      </c>
      <c r="G165" s="194"/>
      <c r="H165" s="197"/>
    </row>
    <row r="166" spans="1:8" x14ac:dyDescent="0.25">
      <c r="A166" s="207" t="s">
        <v>235</v>
      </c>
      <c r="B166" s="61" t="s">
        <v>295</v>
      </c>
      <c r="C166" s="62">
        <v>1.6</v>
      </c>
      <c r="D166" s="63">
        <v>9</v>
      </c>
      <c r="E166" s="192">
        <f>SUM(D166:D180)</f>
        <v>48</v>
      </c>
      <c r="F166" s="63">
        <f t="shared" si="6"/>
        <v>562500</v>
      </c>
      <c r="G166" s="192">
        <f>SUM(F166:F180)</f>
        <v>2196080.7467386415</v>
      </c>
      <c r="H166" s="195">
        <f>E166*100000/G166</f>
        <v>2.1857119812777333</v>
      </c>
    </row>
    <row r="167" spans="1:8" x14ac:dyDescent="0.25">
      <c r="A167" s="209"/>
      <c r="B167" s="64" t="s">
        <v>296</v>
      </c>
      <c r="C167" s="65">
        <v>7.6</v>
      </c>
      <c r="D167" s="66">
        <v>21</v>
      </c>
      <c r="E167" s="193"/>
      <c r="F167" s="66">
        <f t="shared" si="6"/>
        <v>276315.78947368421</v>
      </c>
      <c r="G167" s="193"/>
      <c r="H167" s="196"/>
    </row>
    <row r="168" spans="1:8" x14ac:dyDescent="0.25">
      <c r="A168" s="209"/>
      <c r="B168" s="64" t="s">
        <v>297</v>
      </c>
      <c r="C168" s="65">
        <v>0.7</v>
      </c>
      <c r="D168" s="66">
        <v>1</v>
      </c>
      <c r="E168" s="193"/>
      <c r="F168" s="66">
        <f t="shared" si="6"/>
        <v>142857.14285714287</v>
      </c>
      <c r="G168" s="193"/>
      <c r="H168" s="196"/>
    </row>
    <row r="169" spans="1:8" x14ac:dyDescent="0.25">
      <c r="A169" s="209"/>
      <c r="B169" s="64" t="s">
        <v>298</v>
      </c>
      <c r="C169" s="65">
        <v>0.9</v>
      </c>
      <c r="D169" s="66">
        <v>1</v>
      </c>
      <c r="E169" s="193"/>
      <c r="F169" s="66">
        <f t="shared" si="6"/>
        <v>111111.11111111111</v>
      </c>
      <c r="G169" s="193"/>
      <c r="H169" s="196"/>
    </row>
    <row r="170" spans="1:8" x14ac:dyDescent="0.25">
      <c r="A170" s="209"/>
      <c r="B170" s="64" t="s">
        <v>299</v>
      </c>
      <c r="C170" s="65">
        <v>1.2</v>
      </c>
      <c r="D170" s="66">
        <v>1</v>
      </c>
      <c r="E170" s="193"/>
      <c r="F170" s="66">
        <f t="shared" si="6"/>
        <v>83333.333333333343</v>
      </c>
      <c r="G170" s="193"/>
      <c r="H170" s="196"/>
    </row>
    <row r="171" spans="1:8" x14ac:dyDescent="0.25">
      <c r="A171" s="209"/>
      <c r="B171" s="64" t="s">
        <v>300</v>
      </c>
      <c r="C171" s="65">
        <v>1.5</v>
      </c>
      <c r="D171" s="66">
        <v>1</v>
      </c>
      <c r="E171" s="193"/>
      <c r="F171" s="66">
        <f t="shared" si="6"/>
        <v>66666.666666666672</v>
      </c>
      <c r="G171" s="193"/>
      <c r="H171" s="196"/>
    </row>
    <row r="172" spans="1:8" x14ac:dyDescent="0.25">
      <c r="A172" s="209"/>
      <c r="B172" s="64" t="s">
        <v>301</v>
      </c>
      <c r="C172" s="65">
        <v>2.1</v>
      </c>
      <c r="D172" s="66">
        <v>4</v>
      </c>
      <c r="E172" s="193"/>
      <c r="F172" s="66">
        <f t="shared" si="6"/>
        <v>190476.19047619047</v>
      </c>
      <c r="G172" s="193"/>
      <c r="H172" s="196"/>
    </row>
    <row r="173" spans="1:8" x14ac:dyDescent="0.25">
      <c r="A173" s="209"/>
      <c r="B173" s="64" t="s">
        <v>302</v>
      </c>
      <c r="C173" s="65">
        <v>3.9</v>
      </c>
      <c r="D173" s="66">
        <v>7</v>
      </c>
      <c r="E173" s="193"/>
      <c r="F173" s="66">
        <f t="shared" si="6"/>
        <v>179487.1794871795</v>
      </c>
      <c r="G173" s="193"/>
      <c r="H173" s="196"/>
    </row>
    <row r="174" spans="1:8" x14ac:dyDescent="0.25">
      <c r="A174" s="209"/>
      <c r="B174" s="64" t="s">
        <v>303</v>
      </c>
      <c r="C174" s="65">
        <v>0.8</v>
      </c>
      <c r="D174" s="66">
        <v>2</v>
      </c>
      <c r="E174" s="193"/>
      <c r="F174" s="66">
        <f t="shared" si="6"/>
        <v>250000</v>
      </c>
      <c r="G174" s="193"/>
      <c r="H174" s="196"/>
    </row>
    <row r="175" spans="1:8" x14ac:dyDescent="0.25">
      <c r="A175" s="209"/>
      <c r="B175" s="64" t="s">
        <v>304</v>
      </c>
      <c r="C175" s="65">
        <v>0.3</v>
      </c>
      <c r="D175" s="66">
        <v>1</v>
      </c>
      <c r="E175" s="193"/>
      <c r="F175" s="66">
        <f t="shared" si="6"/>
        <v>333333.33333333337</v>
      </c>
      <c r="G175" s="193"/>
      <c r="H175" s="196"/>
    </row>
    <row r="176" spans="1:8" x14ac:dyDescent="0.25">
      <c r="A176" s="209"/>
      <c r="B176" s="64" t="s">
        <v>305</v>
      </c>
      <c r="C176" s="65">
        <v>0</v>
      </c>
      <c r="D176" s="66">
        <v>0</v>
      </c>
      <c r="E176" s="193"/>
      <c r="F176" s="66"/>
      <c r="G176" s="193"/>
      <c r="H176" s="196"/>
    </row>
    <row r="177" spans="1:8" x14ac:dyDescent="0.25">
      <c r="A177" s="209"/>
      <c r="B177" s="64" t="s">
        <v>306</v>
      </c>
      <c r="C177" s="65">
        <v>0</v>
      </c>
      <c r="D177" s="66">
        <v>0</v>
      </c>
      <c r="E177" s="193"/>
      <c r="F177" s="66"/>
      <c r="G177" s="193"/>
      <c r="H177" s="196"/>
    </row>
    <row r="178" spans="1:8" x14ac:dyDescent="0.25">
      <c r="A178" s="209"/>
      <c r="B178" s="64" t="s">
        <v>307</v>
      </c>
      <c r="C178" s="65">
        <v>0</v>
      </c>
      <c r="D178" s="66">
        <v>0</v>
      </c>
      <c r="E178" s="193"/>
      <c r="F178" s="66"/>
      <c r="G178" s="193"/>
      <c r="H178" s="196"/>
    </row>
    <row r="179" spans="1:8" x14ac:dyDescent="0.25">
      <c r="A179" s="209"/>
      <c r="B179" s="64" t="s">
        <v>308</v>
      </c>
      <c r="C179" s="65">
        <v>0</v>
      </c>
      <c r="D179" s="66">
        <v>0</v>
      </c>
      <c r="E179" s="193"/>
      <c r="F179" s="66"/>
      <c r="G179" s="193"/>
      <c r="H179" s="196"/>
    </row>
    <row r="180" spans="1:8" x14ac:dyDescent="0.25">
      <c r="A180" s="208"/>
      <c r="B180" s="67" t="s">
        <v>309</v>
      </c>
      <c r="C180" s="68">
        <v>0</v>
      </c>
      <c r="D180" s="69">
        <v>0</v>
      </c>
      <c r="E180" s="194"/>
      <c r="F180" s="69"/>
      <c r="G180" s="194"/>
      <c r="H180" s="197"/>
    </row>
    <row r="181" spans="1:8" x14ac:dyDescent="0.25">
      <c r="B181" s="42" t="s">
        <v>310</v>
      </c>
      <c r="C181" s="50">
        <v>0</v>
      </c>
      <c r="D181" s="92">
        <v>0</v>
      </c>
    </row>
    <row r="182" spans="1:8" x14ac:dyDescent="0.25">
      <c r="G182" s="95"/>
    </row>
    <row r="184" spans="1:8" x14ac:dyDescent="0.25">
      <c r="A184" s="105"/>
      <c r="B184" s="105"/>
      <c r="C184" s="203" t="s">
        <v>238</v>
      </c>
      <c r="D184" s="203"/>
      <c r="E184" s="203"/>
      <c r="F184" s="204" t="s">
        <v>263</v>
      </c>
      <c r="G184" s="204"/>
      <c r="H184" s="198" t="s">
        <v>361</v>
      </c>
    </row>
    <row r="185" spans="1:8" x14ac:dyDescent="0.25">
      <c r="A185" s="105"/>
      <c r="B185" s="105"/>
      <c r="C185" s="199" t="s">
        <v>359</v>
      </c>
      <c r="D185" s="201" t="s">
        <v>360</v>
      </c>
      <c r="E185" s="201" t="s">
        <v>365</v>
      </c>
      <c r="F185" s="143" t="s">
        <v>362</v>
      </c>
      <c r="G185" s="143" t="s">
        <v>363</v>
      </c>
      <c r="H185" s="198"/>
    </row>
    <row r="186" spans="1:8" x14ac:dyDescent="0.25">
      <c r="A186" s="107" t="s">
        <v>352</v>
      </c>
      <c r="B186" s="107"/>
      <c r="C186" s="200"/>
      <c r="D186" s="202"/>
      <c r="E186" s="202"/>
      <c r="F186" s="143" t="s">
        <v>366</v>
      </c>
      <c r="G186" s="143" t="s">
        <v>367</v>
      </c>
      <c r="H186" s="106" t="s">
        <v>368</v>
      </c>
    </row>
    <row r="187" spans="1:8" x14ac:dyDescent="0.25">
      <c r="A187" s="56" t="s">
        <v>233</v>
      </c>
      <c r="B187" s="56" t="s">
        <v>290</v>
      </c>
      <c r="C187" s="57">
        <v>4.2</v>
      </c>
      <c r="D187" s="58">
        <v>1</v>
      </c>
      <c r="E187" s="58">
        <f>D187</f>
        <v>1</v>
      </c>
      <c r="F187" s="58">
        <f>D187*100000/C187</f>
        <v>23809.523809523809</v>
      </c>
      <c r="G187" s="58">
        <f>F187</f>
        <v>23809.523809523809</v>
      </c>
      <c r="H187" s="57">
        <f>E187*100000/G187</f>
        <v>4.2</v>
      </c>
    </row>
    <row r="188" spans="1:8" x14ac:dyDescent="0.25">
      <c r="A188" s="207" t="s">
        <v>234</v>
      </c>
      <c r="B188" s="61" t="s">
        <v>291</v>
      </c>
      <c r="C188" s="62">
        <v>0</v>
      </c>
      <c r="D188" s="63">
        <v>0</v>
      </c>
      <c r="E188" s="192">
        <f>SUM(D188:D192)</f>
        <v>4</v>
      </c>
      <c r="F188" s="63"/>
      <c r="G188" s="192">
        <f>SUM(F188:F192)</f>
        <v>47619.047619047618</v>
      </c>
      <c r="H188" s="195">
        <f>E188*100000/G188</f>
        <v>8.4</v>
      </c>
    </row>
    <row r="189" spans="1:8" x14ac:dyDescent="0.25">
      <c r="A189" s="209"/>
      <c r="B189" s="64" t="s">
        <v>292</v>
      </c>
      <c r="C189" s="65">
        <v>0</v>
      </c>
      <c r="D189" s="66">
        <v>0</v>
      </c>
      <c r="E189" s="193"/>
      <c r="F189" s="66"/>
      <c r="G189" s="193"/>
      <c r="H189" s="196"/>
    </row>
    <row r="190" spans="1:8" x14ac:dyDescent="0.25">
      <c r="A190" s="209"/>
      <c r="B190" s="64" t="s">
        <v>293</v>
      </c>
      <c r="C190" s="65">
        <v>0</v>
      </c>
      <c r="D190" s="66">
        <v>0</v>
      </c>
      <c r="E190" s="193"/>
      <c r="F190" s="66"/>
      <c r="G190" s="193"/>
      <c r="H190" s="196"/>
    </row>
    <row r="191" spans="1:8" x14ac:dyDescent="0.25">
      <c r="A191" s="209"/>
      <c r="B191" s="64" t="s">
        <v>294</v>
      </c>
      <c r="C191" s="65">
        <v>0</v>
      </c>
      <c r="D191" s="66">
        <v>0</v>
      </c>
      <c r="E191" s="193"/>
      <c r="F191" s="66"/>
      <c r="G191" s="193"/>
      <c r="H191" s="196"/>
    </row>
    <row r="192" spans="1:8" x14ac:dyDescent="0.25">
      <c r="A192" s="208"/>
      <c r="B192" s="67" t="s">
        <v>269</v>
      </c>
      <c r="C192" s="68">
        <v>8.4</v>
      </c>
      <c r="D192" s="69">
        <v>4</v>
      </c>
      <c r="E192" s="194"/>
      <c r="F192" s="69">
        <f t="shared" ref="F192:F201" si="7">D192*100000/C192</f>
        <v>47619.047619047618</v>
      </c>
      <c r="G192" s="194"/>
      <c r="H192" s="197"/>
    </row>
    <row r="193" spans="1:8" x14ac:dyDescent="0.25">
      <c r="A193" s="207" t="s">
        <v>235</v>
      </c>
      <c r="B193" s="61" t="s">
        <v>295</v>
      </c>
      <c r="C193" s="62">
        <v>1.2</v>
      </c>
      <c r="D193" s="63">
        <v>1</v>
      </c>
      <c r="E193" s="192">
        <f>SUM(D193:D207)</f>
        <v>12</v>
      </c>
      <c r="F193" s="63">
        <f t="shared" si="7"/>
        <v>83333.333333333343</v>
      </c>
      <c r="G193" s="192">
        <f>SUM(F193:F207)</f>
        <v>217057.12457689139</v>
      </c>
      <c r="H193" s="195">
        <f>E193*100000/G193</f>
        <v>5.5284985569543288</v>
      </c>
    </row>
    <row r="194" spans="1:8" x14ac:dyDescent="0.25">
      <c r="A194" s="209"/>
      <c r="B194" s="64" t="s">
        <v>296</v>
      </c>
      <c r="C194" s="65">
        <v>13.8</v>
      </c>
      <c r="D194" s="66">
        <v>6</v>
      </c>
      <c r="E194" s="193"/>
      <c r="F194" s="66">
        <f t="shared" si="7"/>
        <v>43478.260869565216</v>
      </c>
      <c r="G194" s="193"/>
      <c r="H194" s="196"/>
    </row>
    <row r="195" spans="1:8" x14ac:dyDescent="0.25">
      <c r="A195" s="209"/>
      <c r="B195" s="64" t="s">
        <v>297</v>
      </c>
      <c r="C195" s="65">
        <v>0</v>
      </c>
      <c r="D195" s="66">
        <v>0</v>
      </c>
      <c r="E195" s="193"/>
      <c r="F195" s="66"/>
      <c r="G195" s="193"/>
      <c r="H195" s="196"/>
    </row>
    <row r="196" spans="1:8" x14ac:dyDescent="0.25">
      <c r="A196" s="209"/>
      <c r="B196" s="64" t="s">
        <v>298</v>
      </c>
      <c r="C196" s="65">
        <v>0</v>
      </c>
      <c r="D196" s="66">
        <v>0</v>
      </c>
      <c r="E196" s="193"/>
      <c r="F196" s="66"/>
      <c r="G196" s="193"/>
      <c r="H196" s="196"/>
    </row>
    <row r="197" spans="1:8" x14ac:dyDescent="0.25">
      <c r="A197" s="209"/>
      <c r="B197" s="64" t="s">
        <v>299</v>
      </c>
      <c r="C197" s="65">
        <v>0</v>
      </c>
      <c r="D197" s="66">
        <v>0</v>
      </c>
      <c r="E197" s="193"/>
      <c r="F197" s="66"/>
      <c r="G197" s="193"/>
      <c r="H197" s="196"/>
    </row>
    <row r="198" spans="1:8" x14ac:dyDescent="0.25">
      <c r="A198" s="209"/>
      <c r="B198" s="64" t="s">
        <v>300</v>
      </c>
      <c r="C198" s="65">
        <v>9.9</v>
      </c>
      <c r="D198" s="66">
        <v>1</v>
      </c>
      <c r="E198" s="193"/>
      <c r="F198" s="66">
        <f t="shared" si="7"/>
        <v>10101.010101010101</v>
      </c>
      <c r="G198" s="193"/>
      <c r="H198" s="196"/>
    </row>
    <row r="199" spans="1:8" x14ac:dyDescent="0.25">
      <c r="A199" s="209"/>
      <c r="B199" s="64" t="s">
        <v>301</v>
      </c>
      <c r="C199" s="65">
        <v>4.7</v>
      </c>
      <c r="D199" s="66">
        <v>1</v>
      </c>
      <c r="E199" s="193"/>
      <c r="F199" s="66">
        <f t="shared" si="7"/>
        <v>21276.59574468085</v>
      </c>
      <c r="G199" s="193"/>
      <c r="H199" s="196"/>
    </row>
    <row r="200" spans="1:8" x14ac:dyDescent="0.25">
      <c r="A200" s="209"/>
      <c r="B200" s="64" t="s">
        <v>302</v>
      </c>
      <c r="C200" s="65">
        <v>5.3</v>
      </c>
      <c r="D200" s="66">
        <v>1</v>
      </c>
      <c r="E200" s="193"/>
      <c r="F200" s="66">
        <f t="shared" si="7"/>
        <v>18867.924528301886</v>
      </c>
      <c r="G200" s="193"/>
      <c r="H200" s="196"/>
    </row>
    <row r="201" spans="1:8" x14ac:dyDescent="0.25">
      <c r="A201" s="209"/>
      <c r="B201" s="64" t="s">
        <v>303</v>
      </c>
      <c r="C201" s="65">
        <v>5</v>
      </c>
      <c r="D201" s="66">
        <v>2</v>
      </c>
      <c r="E201" s="193"/>
      <c r="F201" s="66">
        <f t="shared" si="7"/>
        <v>40000</v>
      </c>
      <c r="G201" s="193"/>
      <c r="H201" s="196"/>
    </row>
    <row r="202" spans="1:8" x14ac:dyDescent="0.25">
      <c r="A202" s="209"/>
      <c r="B202" s="64" t="s">
        <v>304</v>
      </c>
      <c r="C202" s="65">
        <v>0</v>
      </c>
      <c r="D202" s="66">
        <v>0</v>
      </c>
      <c r="E202" s="193"/>
      <c r="F202" s="66"/>
      <c r="G202" s="193"/>
      <c r="H202" s="196"/>
    </row>
    <row r="203" spans="1:8" x14ac:dyDescent="0.25">
      <c r="A203" s="209"/>
      <c r="B203" s="64" t="s">
        <v>305</v>
      </c>
      <c r="C203" s="65">
        <v>0</v>
      </c>
      <c r="D203" s="66">
        <v>0</v>
      </c>
      <c r="E203" s="193"/>
      <c r="F203" s="66"/>
      <c r="G203" s="193"/>
      <c r="H203" s="196"/>
    </row>
    <row r="204" spans="1:8" x14ac:dyDescent="0.25">
      <c r="A204" s="209"/>
      <c r="B204" s="64" t="s">
        <v>306</v>
      </c>
      <c r="C204" s="65">
        <v>0</v>
      </c>
      <c r="D204" s="66">
        <v>0</v>
      </c>
      <c r="E204" s="193"/>
      <c r="F204" s="66"/>
      <c r="G204" s="193"/>
      <c r="H204" s="196"/>
    </row>
    <row r="205" spans="1:8" x14ac:dyDescent="0.25">
      <c r="A205" s="209"/>
      <c r="B205" s="64" t="s">
        <v>307</v>
      </c>
      <c r="C205" s="65">
        <v>0</v>
      </c>
      <c r="D205" s="66">
        <v>0</v>
      </c>
      <c r="E205" s="193"/>
      <c r="F205" s="66"/>
      <c r="G205" s="193"/>
      <c r="H205" s="196"/>
    </row>
    <row r="206" spans="1:8" x14ac:dyDescent="0.25">
      <c r="A206" s="209"/>
      <c r="B206" s="64" t="s">
        <v>308</v>
      </c>
      <c r="C206" s="65"/>
      <c r="D206" s="66"/>
      <c r="E206" s="193"/>
      <c r="F206" s="66"/>
      <c r="G206" s="193"/>
      <c r="H206" s="196"/>
    </row>
    <row r="207" spans="1:8" x14ac:dyDescent="0.25">
      <c r="A207" s="208"/>
      <c r="B207" s="67" t="s">
        <v>309</v>
      </c>
      <c r="C207" s="68"/>
      <c r="D207" s="69"/>
      <c r="E207" s="194"/>
      <c r="F207" s="69"/>
      <c r="G207" s="194"/>
      <c r="H207" s="197"/>
    </row>
    <row r="208" spans="1:8" x14ac:dyDescent="0.25">
      <c r="B208" s="42" t="s">
        <v>310</v>
      </c>
      <c r="C208" s="50"/>
      <c r="G208" s="95"/>
    </row>
    <row r="209" spans="1:16" x14ac:dyDescent="0.25">
      <c r="G209" s="95"/>
    </row>
    <row r="211" spans="1:16" x14ac:dyDescent="0.25">
      <c r="A211" s="89"/>
      <c r="B211" s="109"/>
      <c r="C211" s="50"/>
      <c r="E211" s="51"/>
      <c r="F211" s="52"/>
      <c r="G211" s="53"/>
      <c r="H211" s="54"/>
    </row>
    <row r="212" spans="1:16" x14ac:dyDescent="0.25">
      <c r="A212" s="105"/>
      <c r="B212" s="105"/>
      <c r="C212" s="203" t="s">
        <v>238</v>
      </c>
      <c r="D212" s="203"/>
      <c r="E212" s="203"/>
      <c r="F212" s="204" t="s">
        <v>263</v>
      </c>
      <c r="G212" s="204"/>
      <c r="H212" s="198" t="s">
        <v>361</v>
      </c>
      <c r="K212" s="50"/>
      <c r="L212" s="50"/>
      <c r="M212" s="50"/>
      <c r="N212" s="50"/>
      <c r="O212" s="50"/>
      <c r="P212" s="50"/>
    </row>
    <row r="213" spans="1:16" x14ac:dyDescent="0.25">
      <c r="A213" s="105"/>
      <c r="B213" s="105"/>
      <c r="C213" s="199" t="s">
        <v>359</v>
      </c>
      <c r="D213" s="201" t="s">
        <v>360</v>
      </c>
      <c r="E213" s="201" t="s">
        <v>365</v>
      </c>
      <c r="F213" s="143" t="s">
        <v>362</v>
      </c>
      <c r="G213" s="143" t="s">
        <v>363</v>
      </c>
      <c r="H213" s="198"/>
      <c r="K213" s="50"/>
      <c r="L213" s="50"/>
      <c r="M213" s="50"/>
      <c r="N213" s="50"/>
      <c r="O213" s="50"/>
      <c r="P213" s="50"/>
    </row>
    <row r="214" spans="1:16" x14ac:dyDescent="0.25">
      <c r="A214" s="107" t="s">
        <v>312</v>
      </c>
      <c r="B214" s="107"/>
      <c r="C214" s="200"/>
      <c r="D214" s="202"/>
      <c r="E214" s="202"/>
      <c r="F214" s="143" t="s">
        <v>366</v>
      </c>
      <c r="G214" s="143" t="s">
        <v>367</v>
      </c>
      <c r="H214" s="106" t="s">
        <v>368</v>
      </c>
    </row>
    <row r="215" spans="1:16" x14ac:dyDescent="0.25">
      <c r="A215" s="210" t="s">
        <v>233</v>
      </c>
      <c r="B215" s="113" t="s">
        <v>264</v>
      </c>
      <c r="C215" s="62">
        <v>14.1</v>
      </c>
      <c r="D215" s="63">
        <v>3</v>
      </c>
      <c r="E215" s="192">
        <f>SUM(D215:D216)</f>
        <v>4</v>
      </c>
      <c r="F215" s="63">
        <f>D215*100000/C215</f>
        <v>21276.595744680853</v>
      </c>
      <c r="G215" s="192">
        <f>SUM(F215:F216)</f>
        <v>22957.268013588415</v>
      </c>
      <c r="H215" s="195">
        <f>E215*100000/G215</f>
        <v>17.423676012461058</v>
      </c>
    </row>
    <row r="216" spans="1:16" x14ac:dyDescent="0.25">
      <c r="A216" s="211"/>
      <c r="B216" s="115" t="s">
        <v>265</v>
      </c>
      <c r="C216" s="68">
        <v>59.5</v>
      </c>
      <c r="D216" s="69">
        <v>1</v>
      </c>
      <c r="E216" s="194"/>
      <c r="F216" s="69">
        <f>D216*100000/C216</f>
        <v>1680.672268907563</v>
      </c>
      <c r="G216" s="194"/>
      <c r="H216" s="197"/>
    </row>
    <row r="217" spans="1:16" x14ac:dyDescent="0.25">
      <c r="A217" s="119"/>
      <c r="B217" s="113" t="s">
        <v>266</v>
      </c>
      <c r="C217" s="62">
        <v>0</v>
      </c>
      <c r="D217" s="63">
        <v>0</v>
      </c>
      <c r="E217" s="192">
        <f>SUM(D217:D220)</f>
        <v>32</v>
      </c>
      <c r="F217" s="66"/>
      <c r="G217" s="192">
        <f>SUM(F217:F220)</f>
        <v>259260.59050064185</v>
      </c>
      <c r="H217" s="195">
        <f>E217*100000/G217</f>
        <v>12.342793765225485</v>
      </c>
    </row>
    <row r="218" spans="1:16" x14ac:dyDescent="0.25">
      <c r="A218" s="212" t="s">
        <v>234</v>
      </c>
      <c r="B218" s="114" t="s">
        <v>267</v>
      </c>
      <c r="C218" s="65">
        <v>5.7</v>
      </c>
      <c r="D218" s="66">
        <v>9</v>
      </c>
      <c r="E218" s="193"/>
      <c r="F218" s="66">
        <f t="shared" ref="F218:F229" si="8">D218*100000/C218</f>
        <v>157894.73684210525</v>
      </c>
      <c r="G218" s="193"/>
      <c r="H218" s="196"/>
    </row>
    <row r="219" spans="1:16" x14ac:dyDescent="0.25">
      <c r="A219" s="212"/>
      <c r="B219" s="114" t="s">
        <v>268</v>
      </c>
      <c r="C219" s="65">
        <v>12.5</v>
      </c>
      <c r="D219" s="66">
        <v>2</v>
      </c>
      <c r="E219" s="193"/>
      <c r="F219" s="66">
        <f t="shared" si="8"/>
        <v>16000</v>
      </c>
      <c r="G219" s="193"/>
      <c r="H219" s="196"/>
    </row>
    <row r="220" spans="1:16" x14ac:dyDescent="0.25">
      <c r="A220" s="211"/>
      <c r="B220" s="115" t="s">
        <v>269</v>
      </c>
      <c r="C220" s="68">
        <v>24.6</v>
      </c>
      <c r="D220" s="69">
        <v>21</v>
      </c>
      <c r="E220" s="194"/>
      <c r="F220" s="69">
        <f t="shared" si="8"/>
        <v>85365.85365853658</v>
      </c>
      <c r="G220" s="194"/>
      <c r="H220" s="197"/>
    </row>
    <row r="221" spans="1:16" x14ac:dyDescent="0.25">
      <c r="A221" s="212" t="s">
        <v>235</v>
      </c>
      <c r="B221" s="114" t="s">
        <v>270</v>
      </c>
      <c r="C221" s="65">
        <v>2.1</v>
      </c>
      <c r="D221" s="66">
        <v>4</v>
      </c>
      <c r="E221" s="193">
        <f>SUM(D221:D229)</f>
        <v>22</v>
      </c>
      <c r="F221" s="66">
        <f t="shared" si="8"/>
        <v>190476.19047619047</v>
      </c>
      <c r="G221" s="193">
        <f>SUM(F221:F229)</f>
        <v>543329.34617564606</v>
      </c>
      <c r="H221" s="196">
        <f>E221*100000/G221</f>
        <v>4.049109468290693</v>
      </c>
    </row>
    <row r="222" spans="1:16" x14ac:dyDescent="0.25">
      <c r="A222" s="212"/>
      <c r="B222" s="114" t="s">
        <v>271</v>
      </c>
      <c r="C222" s="65">
        <v>3.1</v>
      </c>
      <c r="D222" s="66">
        <v>1</v>
      </c>
      <c r="E222" s="193"/>
      <c r="F222" s="66">
        <f t="shared" si="8"/>
        <v>32258.06451612903</v>
      </c>
      <c r="G222" s="193"/>
      <c r="H222" s="196"/>
    </row>
    <row r="223" spans="1:16" x14ac:dyDescent="0.25">
      <c r="A223" s="212"/>
      <c r="B223" s="114" t="s">
        <v>272</v>
      </c>
      <c r="C223" s="65">
        <v>16.5</v>
      </c>
      <c r="D223" s="66">
        <v>14</v>
      </c>
      <c r="E223" s="193"/>
      <c r="F223" s="66">
        <f t="shared" si="8"/>
        <v>84848.484848484848</v>
      </c>
      <c r="G223" s="193"/>
      <c r="H223" s="196"/>
    </row>
    <row r="224" spans="1:16" x14ac:dyDescent="0.25">
      <c r="A224" s="212"/>
      <c r="B224" s="114" t="s">
        <v>273</v>
      </c>
      <c r="C224" s="65">
        <v>0</v>
      </c>
      <c r="D224" s="66">
        <v>0</v>
      </c>
      <c r="E224" s="193"/>
      <c r="F224" s="66"/>
      <c r="G224" s="193"/>
      <c r="H224" s="196"/>
    </row>
    <row r="225" spans="1:16" x14ac:dyDescent="0.25">
      <c r="A225" s="212"/>
      <c r="B225" s="114" t="s">
        <v>274</v>
      </c>
      <c r="C225" s="65">
        <v>1</v>
      </c>
      <c r="D225" s="66">
        <v>1</v>
      </c>
      <c r="E225" s="193"/>
      <c r="F225" s="66">
        <f t="shared" si="8"/>
        <v>100000</v>
      </c>
      <c r="G225" s="193"/>
      <c r="H225" s="196"/>
    </row>
    <row r="226" spans="1:16" x14ac:dyDescent="0.25">
      <c r="A226" s="212"/>
      <c r="B226" s="114" t="s">
        <v>275</v>
      </c>
      <c r="C226" s="65">
        <v>1.3</v>
      </c>
      <c r="D226" s="66">
        <v>1</v>
      </c>
      <c r="E226" s="193"/>
      <c r="F226" s="66">
        <f t="shared" si="8"/>
        <v>76923.076923076922</v>
      </c>
      <c r="G226" s="193"/>
      <c r="H226" s="196"/>
    </row>
    <row r="227" spans="1:16" x14ac:dyDescent="0.25">
      <c r="A227" s="212"/>
      <c r="B227" s="114" t="s">
        <v>276</v>
      </c>
      <c r="C227" s="65">
        <v>0</v>
      </c>
      <c r="D227" s="66">
        <v>0</v>
      </c>
      <c r="E227" s="193"/>
      <c r="F227" s="66"/>
      <c r="G227" s="193"/>
      <c r="H227" s="196"/>
    </row>
    <row r="228" spans="1:16" x14ac:dyDescent="0.25">
      <c r="A228" s="212"/>
      <c r="B228" s="114" t="s">
        <v>277</v>
      </c>
      <c r="C228" s="65">
        <v>0</v>
      </c>
      <c r="D228" s="66">
        <v>0</v>
      </c>
      <c r="E228" s="193"/>
      <c r="F228" s="66"/>
      <c r="G228" s="193"/>
      <c r="H228" s="196"/>
    </row>
    <row r="229" spans="1:16" x14ac:dyDescent="0.25">
      <c r="A229" s="211"/>
      <c r="B229" s="115" t="s">
        <v>278</v>
      </c>
      <c r="C229" s="68">
        <v>1.7</v>
      </c>
      <c r="D229" s="69">
        <v>1</v>
      </c>
      <c r="E229" s="194"/>
      <c r="F229" s="69">
        <f t="shared" si="8"/>
        <v>58823.529411764706</v>
      </c>
      <c r="G229" s="194"/>
      <c r="H229" s="197"/>
    </row>
    <row r="230" spans="1:16" x14ac:dyDescent="0.25">
      <c r="A230" s="116"/>
      <c r="B230" s="114" t="s">
        <v>310</v>
      </c>
      <c r="C230" s="79">
        <v>0</v>
      </c>
      <c r="D230" s="79">
        <v>0</v>
      </c>
      <c r="E230" s="82"/>
      <c r="F230" s="66"/>
      <c r="G230" s="85"/>
      <c r="H230" s="84"/>
    </row>
    <row r="231" spans="1:16" x14ac:dyDescent="0.25">
      <c r="A231" s="116"/>
      <c r="B231" s="114"/>
      <c r="C231" s="65"/>
      <c r="D231" s="64"/>
      <c r="E231" s="82"/>
      <c r="F231" s="66"/>
      <c r="G231" s="83"/>
      <c r="H231" s="84"/>
    </row>
    <row r="232" spans="1:16" x14ac:dyDescent="0.25">
      <c r="C232" s="50"/>
      <c r="E232" s="51"/>
      <c r="F232" s="52"/>
      <c r="G232" s="53"/>
      <c r="H232" s="54"/>
      <c r="K232" s="50"/>
      <c r="L232" s="50"/>
      <c r="M232" s="50"/>
      <c r="N232" s="50"/>
      <c r="O232" s="50"/>
      <c r="P232" s="50"/>
    </row>
    <row r="233" spans="1:16" x14ac:dyDescent="0.25">
      <c r="C233" s="50"/>
      <c r="E233" s="51"/>
      <c r="F233" s="52"/>
      <c r="G233" s="53"/>
      <c r="H233" s="54"/>
      <c r="K233" s="50"/>
      <c r="L233" s="50"/>
      <c r="M233" s="50"/>
      <c r="N233" s="50"/>
      <c r="O233" s="50"/>
      <c r="P233" s="50"/>
    </row>
    <row r="234" spans="1:16" x14ac:dyDescent="0.25">
      <c r="A234" s="105"/>
      <c r="B234" s="105"/>
      <c r="C234" s="203" t="s">
        <v>238</v>
      </c>
      <c r="D234" s="203"/>
      <c r="E234" s="203"/>
      <c r="F234" s="204" t="s">
        <v>263</v>
      </c>
      <c r="G234" s="204"/>
      <c r="H234" s="198" t="s">
        <v>361</v>
      </c>
      <c r="K234" s="50"/>
      <c r="L234" s="50"/>
      <c r="M234" s="50"/>
      <c r="N234" s="50"/>
      <c r="O234" s="50"/>
      <c r="P234" s="50"/>
    </row>
    <row r="235" spans="1:16" x14ac:dyDescent="0.25">
      <c r="A235" s="105"/>
      <c r="B235" s="105"/>
      <c r="C235" s="199" t="s">
        <v>359</v>
      </c>
      <c r="D235" s="201" t="s">
        <v>360</v>
      </c>
      <c r="E235" s="201" t="s">
        <v>365</v>
      </c>
      <c r="F235" s="143" t="s">
        <v>362</v>
      </c>
      <c r="G235" s="143" t="s">
        <v>363</v>
      </c>
      <c r="H235" s="198"/>
      <c r="K235" s="50"/>
      <c r="L235" s="50"/>
      <c r="M235" s="50"/>
      <c r="N235" s="50"/>
      <c r="O235" s="50"/>
      <c r="P235" s="50"/>
    </row>
    <row r="236" spans="1:16" x14ac:dyDescent="0.25">
      <c r="A236" s="107" t="s">
        <v>313</v>
      </c>
      <c r="B236" s="107"/>
      <c r="C236" s="200"/>
      <c r="D236" s="202"/>
      <c r="E236" s="202"/>
      <c r="F236" s="143" t="s">
        <v>366</v>
      </c>
      <c r="G236" s="143" t="s">
        <v>367</v>
      </c>
      <c r="H236" s="106" t="s">
        <v>368</v>
      </c>
    </row>
    <row r="237" spans="1:16" x14ac:dyDescent="0.25">
      <c r="A237" s="120" t="s">
        <v>233</v>
      </c>
      <c r="B237" s="117" t="s">
        <v>290</v>
      </c>
      <c r="C237" s="57">
        <v>48.3</v>
      </c>
      <c r="D237" s="58">
        <v>13</v>
      </c>
      <c r="E237" s="90">
        <f>D237</f>
        <v>13</v>
      </c>
      <c r="F237" s="58">
        <f>D237*100000/C237</f>
        <v>26915.113871635611</v>
      </c>
      <c r="G237" s="90">
        <f>F237</f>
        <v>26915.113871635611</v>
      </c>
      <c r="H237" s="91">
        <f>E237*100000/G237</f>
        <v>48.3</v>
      </c>
    </row>
    <row r="238" spans="1:16" x14ac:dyDescent="0.25">
      <c r="A238" s="210" t="s">
        <v>234</v>
      </c>
      <c r="B238" s="113" t="s">
        <v>291</v>
      </c>
      <c r="C238" s="62">
        <v>42</v>
      </c>
      <c r="D238" s="63">
        <v>1</v>
      </c>
      <c r="E238" s="192">
        <f>SUM(D238:D242)</f>
        <v>18</v>
      </c>
      <c r="F238" s="63">
        <f t="shared" ref="F238:F252" si="9">D238*100000/C238</f>
        <v>2380.9523809523807</v>
      </c>
      <c r="G238" s="192">
        <f>SUM(F238:F242)</f>
        <v>268012.59873549029</v>
      </c>
      <c r="H238" s="195">
        <f>E238*100000/G238</f>
        <v>6.7161021850934484</v>
      </c>
    </row>
    <row r="239" spans="1:16" x14ac:dyDescent="0.25">
      <c r="A239" s="212"/>
      <c r="B239" s="114" t="s">
        <v>292</v>
      </c>
      <c r="C239" s="65">
        <v>5.5</v>
      </c>
      <c r="D239" s="66">
        <v>9</v>
      </c>
      <c r="E239" s="193"/>
      <c r="F239" s="66">
        <f t="shared" si="9"/>
        <v>163636.36363636365</v>
      </c>
      <c r="G239" s="193"/>
      <c r="H239" s="196"/>
    </row>
    <row r="240" spans="1:16" x14ac:dyDescent="0.25">
      <c r="A240" s="212"/>
      <c r="B240" s="114" t="s">
        <v>293</v>
      </c>
      <c r="C240" s="65">
        <v>6.3</v>
      </c>
      <c r="D240" s="66">
        <v>1</v>
      </c>
      <c r="E240" s="193"/>
      <c r="F240" s="66">
        <f t="shared" si="9"/>
        <v>15873.015873015873</v>
      </c>
      <c r="G240" s="193"/>
      <c r="H240" s="196"/>
    </row>
    <row r="241" spans="1:8" x14ac:dyDescent="0.25">
      <c r="A241" s="212"/>
      <c r="B241" s="114" t="s">
        <v>294</v>
      </c>
      <c r="C241" s="65">
        <v>8.3000000000000007</v>
      </c>
      <c r="D241" s="66">
        <v>1</v>
      </c>
      <c r="E241" s="193"/>
      <c r="F241" s="66">
        <f t="shared" si="9"/>
        <v>12048.192771084336</v>
      </c>
      <c r="G241" s="193"/>
      <c r="H241" s="196"/>
    </row>
    <row r="242" spans="1:8" x14ac:dyDescent="0.25">
      <c r="A242" s="211"/>
      <c r="B242" s="115" t="s">
        <v>269</v>
      </c>
      <c r="C242" s="68">
        <v>8.1</v>
      </c>
      <c r="D242" s="69">
        <v>6</v>
      </c>
      <c r="E242" s="194"/>
      <c r="F242" s="69">
        <f t="shared" si="9"/>
        <v>74074.074074074073</v>
      </c>
      <c r="G242" s="194"/>
      <c r="H242" s="197"/>
    </row>
    <row r="243" spans="1:8" x14ac:dyDescent="0.25">
      <c r="A243" s="212" t="s">
        <v>235</v>
      </c>
      <c r="B243" s="114" t="s">
        <v>295</v>
      </c>
      <c r="C243" s="65">
        <v>1.6</v>
      </c>
      <c r="D243" s="66">
        <v>3</v>
      </c>
      <c r="E243" s="193">
        <f>SUM(D243:D257)</f>
        <v>19</v>
      </c>
      <c r="F243" s="66">
        <f t="shared" si="9"/>
        <v>187500</v>
      </c>
      <c r="G243" s="193">
        <f>SUM(F243:F257)</f>
        <v>491085.88779641408</v>
      </c>
      <c r="H243" s="254">
        <f>E243*100000/G243</f>
        <v>3.8689769900039752</v>
      </c>
    </row>
    <row r="244" spans="1:8" x14ac:dyDescent="0.25">
      <c r="A244" s="212"/>
      <c r="B244" s="114" t="s">
        <v>296</v>
      </c>
      <c r="C244" s="65">
        <v>13.3</v>
      </c>
      <c r="D244" s="66">
        <v>11</v>
      </c>
      <c r="E244" s="193"/>
      <c r="F244" s="66">
        <f t="shared" si="9"/>
        <v>82706.766917293222</v>
      </c>
      <c r="G244" s="193"/>
      <c r="H244" s="254"/>
    </row>
    <row r="245" spans="1:8" x14ac:dyDescent="0.25">
      <c r="A245" s="212"/>
      <c r="B245" s="114" t="s">
        <v>297</v>
      </c>
      <c r="C245" s="65">
        <v>3.5</v>
      </c>
      <c r="D245" s="66">
        <v>1</v>
      </c>
      <c r="E245" s="193"/>
      <c r="F245" s="66">
        <f t="shared" si="9"/>
        <v>28571.428571428572</v>
      </c>
      <c r="G245" s="193"/>
      <c r="H245" s="254"/>
    </row>
    <row r="246" spans="1:8" x14ac:dyDescent="0.25">
      <c r="A246" s="212"/>
      <c r="B246" s="114" t="s">
        <v>298</v>
      </c>
      <c r="C246" s="65">
        <v>0</v>
      </c>
      <c r="D246" s="66">
        <v>0</v>
      </c>
      <c r="E246" s="193"/>
      <c r="F246" s="66"/>
      <c r="G246" s="193"/>
      <c r="H246" s="254"/>
    </row>
    <row r="247" spans="1:8" x14ac:dyDescent="0.25">
      <c r="A247" s="212"/>
      <c r="B247" s="114" t="s">
        <v>299</v>
      </c>
      <c r="C247" s="65">
        <v>0</v>
      </c>
      <c r="D247" s="66">
        <v>0</v>
      </c>
      <c r="E247" s="193"/>
      <c r="F247" s="66"/>
      <c r="G247" s="193"/>
      <c r="H247" s="254"/>
    </row>
    <row r="248" spans="1:8" x14ac:dyDescent="0.25">
      <c r="A248" s="212"/>
      <c r="B248" s="114" t="s">
        <v>300</v>
      </c>
      <c r="C248" s="65">
        <v>0</v>
      </c>
      <c r="D248" s="66">
        <v>0</v>
      </c>
      <c r="E248" s="193"/>
      <c r="F248" s="66"/>
      <c r="G248" s="193"/>
      <c r="H248" s="254"/>
    </row>
    <row r="249" spans="1:8" x14ac:dyDescent="0.25">
      <c r="A249" s="212"/>
      <c r="B249" s="114" t="s">
        <v>301</v>
      </c>
      <c r="C249" s="65">
        <v>0</v>
      </c>
      <c r="D249" s="66">
        <v>0</v>
      </c>
      <c r="E249" s="193"/>
      <c r="F249" s="66"/>
      <c r="G249" s="193"/>
      <c r="H249" s="254"/>
    </row>
    <row r="250" spans="1:8" x14ac:dyDescent="0.25">
      <c r="A250" s="212"/>
      <c r="B250" s="114" t="s">
        <v>302</v>
      </c>
      <c r="C250" s="65">
        <v>5.2</v>
      </c>
      <c r="D250" s="66">
        <v>2</v>
      </c>
      <c r="E250" s="193"/>
      <c r="F250" s="66">
        <f t="shared" si="9"/>
        <v>38461.538461538461</v>
      </c>
      <c r="G250" s="193"/>
      <c r="H250" s="254"/>
    </row>
    <row r="251" spans="1:8" x14ac:dyDescent="0.25">
      <c r="A251" s="212"/>
      <c r="B251" s="114" t="s">
        <v>303</v>
      </c>
      <c r="C251" s="65">
        <v>0</v>
      </c>
      <c r="D251" s="66">
        <v>0</v>
      </c>
      <c r="E251" s="193"/>
      <c r="F251" s="66"/>
      <c r="G251" s="193"/>
      <c r="H251" s="254"/>
    </row>
    <row r="252" spans="1:8" x14ac:dyDescent="0.25">
      <c r="A252" s="212"/>
      <c r="B252" s="114" t="s">
        <v>304</v>
      </c>
      <c r="C252" s="65">
        <v>1.3</v>
      </c>
      <c r="D252" s="66">
        <v>2</v>
      </c>
      <c r="E252" s="193"/>
      <c r="F252" s="66">
        <f t="shared" si="9"/>
        <v>153846.15384615384</v>
      </c>
      <c r="G252" s="193"/>
      <c r="H252" s="254"/>
    </row>
    <row r="253" spans="1:8" x14ac:dyDescent="0.25">
      <c r="A253" s="212"/>
      <c r="B253" s="114" t="s">
        <v>305</v>
      </c>
      <c r="C253" s="65">
        <v>0</v>
      </c>
      <c r="D253" s="66">
        <v>0</v>
      </c>
      <c r="E253" s="193"/>
      <c r="F253" s="66"/>
      <c r="G253" s="193"/>
      <c r="H253" s="254"/>
    </row>
    <row r="254" spans="1:8" x14ac:dyDescent="0.25">
      <c r="A254" s="212"/>
      <c r="B254" s="114" t="s">
        <v>306</v>
      </c>
      <c r="C254" s="65">
        <v>0</v>
      </c>
      <c r="D254" s="66">
        <v>0</v>
      </c>
      <c r="E254" s="193"/>
      <c r="F254" s="66"/>
      <c r="G254" s="193"/>
      <c r="H254" s="254"/>
    </row>
    <row r="255" spans="1:8" x14ac:dyDescent="0.25">
      <c r="A255" s="212"/>
      <c r="B255" s="114" t="s">
        <v>307</v>
      </c>
      <c r="C255" s="65">
        <v>0</v>
      </c>
      <c r="D255" s="66">
        <v>0</v>
      </c>
      <c r="E255" s="193"/>
      <c r="F255" s="66"/>
      <c r="G255" s="193"/>
      <c r="H255" s="254"/>
    </row>
    <row r="256" spans="1:8" x14ac:dyDescent="0.25">
      <c r="A256" s="212"/>
      <c r="B256" s="114" t="s">
        <v>308</v>
      </c>
      <c r="C256" s="65">
        <v>0</v>
      </c>
      <c r="D256" s="66">
        <v>0</v>
      </c>
      <c r="E256" s="193"/>
      <c r="F256" s="66"/>
      <c r="G256" s="193"/>
      <c r="H256" s="254"/>
    </row>
    <row r="257" spans="1:16" x14ac:dyDescent="0.25">
      <c r="A257" s="211"/>
      <c r="B257" s="115" t="s">
        <v>309</v>
      </c>
      <c r="C257" s="68">
        <v>0</v>
      </c>
      <c r="D257" s="69">
        <v>0</v>
      </c>
      <c r="E257" s="194"/>
      <c r="F257" s="69"/>
      <c r="G257" s="194"/>
      <c r="H257" s="255"/>
    </row>
    <row r="258" spans="1:16" x14ac:dyDescent="0.25">
      <c r="A258" s="116"/>
      <c r="B258" s="114" t="s">
        <v>310</v>
      </c>
      <c r="C258" s="79">
        <v>0</v>
      </c>
      <c r="D258" s="79">
        <v>0</v>
      </c>
      <c r="E258" s="82"/>
      <c r="F258" s="66"/>
      <c r="G258" s="85"/>
      <c r="H258" s="84"/>
    </row>
    <row r="259" spans="1:16" x14ac:dyDescent="0.25">
      <c r="A259" s="116"/>
      <c r="B259" s="114"/>
      <c r="C259" s="65"/>
      <c r="D259" s="64"/>
      <c r="E259" s="82"/>
      <c r="F259" s="66"/>
      <c r="G259" s="83"/>
      <c r="H259" s="84"/>
    </row>
    <row r="260" spans="1:16" x14ac:dyDescent="0.25">
      <c r="C260" s="50"/>
      <c r="E260" s="51"/>
      <c r="F260" s="52"/>
      <c r="G260" s="53"/>
      <c r="H260" s="54"/>
      <c r="K260" s="50"/>
      <c r="L260" s="50"/>
      <c r="M260" s="50"/>
      <c r="N260" s="50"/>
      <c r="O260" s="50"/>
      <c r="P260" s="50"/>
    </row>
    <row r="261" spans="1:16" x14ac:dyDescent="0.25">
      <c r="C261" s="50"/>
      <c r="E261" s="51"/>
      <c r="F261" s="52"/>
      <c r="G261" s="53"/>
      <c r="H261" s="54"/>
      <c r="K261" s="50"/>
      <c r="L261" s="50"/>
      <c r="M261" s="50"/>
      <c r="N261" s="50"/>
      <c r="O261" s="50"/>
      <c r="P261" s="50"/>
    </row>
    <row r="262" spans="1:16" x14ac:dyDescent="0.25">
      <c r="A262" s="105"/>
      <c r="B262" s="105"/>
      <c r="C262" s="203" t="s">
        <v>238</v>
      </c>
      <c r="D262" s="203"/>
      <c r="E262" s="203"/>
      <c r="F262" s="204" t="s">
        <v>263</v>
      </c>
      <c r="G262" s="204"/>
      <c r="H262" s="198" t="s">
        <v>361</v>
      </c>
      <c r="K262" s="50"/>
      <c r="L262" s="50"/>
      <c r="M262" s="50"/>
      <c r="N262" s="50"/>
      <c r="O262" s="50"/>
      <c r="P262" s="50"/>
    </row>
    <row r="263" spans="1:16" x14ac:dyDescent="0.25">
      <c r="A263" s="105"/>
      <c r="B263" s="105"/>
      <c r="C263" s="199" t="s">
        <v>359</v>
      </c>
      <c r="D263" s="201" t="s">
        <v>360</v>
      </c>
      <c r="E263" s="201" t="s">
        <v>365</v>
      </c>
      <c r="F263" s="143" t="s">
        <v>362</v>
      </c>
      <c r="G263" s="143" t="s">
        <v>363</v>
      </c>
      <c r="H263" s="198"/>
      <c r="K263" s="50"/>
      <c r="L263" s="50"/>
      <c r="M263" s="50"/>
      <c r="N263" s="50"/>
      <c r="O263" s="50"/>
      <c r="P263" s="50"/>
    </row>
    <row r="264" spans="1:16" x14ac:dyDescent="0.25">
      <c r="A264" s="107" t="s">
        <v>311</v>
      </c>
      <c r="B264" s="107"/>
      <c r="C264" s="200"/>
      <c r="D264" s="202"/>
      <c r="E264" s="202"/>
      <c r="F264" s="143" t="s">
        <v>366</v>
      </c>
      <c r="G264" s="143" t="s">
        <v>367</v>
      </c>
      <c r="H264" s="106" t="s">
        <v>368</v>
      </c>
    </row>
    <row r="265" spans="1:16" x14ac:dyDescent="0.25">
      <c r="A265" s="120" t="s">
        <v>233</v>
      </c>
      <c r="B265" s="117" t="s">
        <v>290</v>
      </c>
      <c r="C265" s="57">
        <v>16.600000000000001</v>
      </c>
      <c r="D265" s="58">
        <v>19</v>
      </c>
      <c r="E265" s="90">
        <f>D265</f>
        <v>19</v>
      </c>
      <c r="F265" s="58">
        <f>D265*100000/C265</f>
        <v>114457.8313253012</v>
      </c>
      <c r="G265" s="90">
        <f>F265</f>
        <v>114457.8313253012</v>
      </c>
      <c r="H265" s="91">
        <f>E265*100000/G265</f>
        <v>16.600000000000001</v>
      </c>
    </row>
    <row r="266" spans="1:16" x14ac:dyDescent="0.25">
      <c r="A266" s="212" t="s">
        <v>234</v>
      </c>
      <c r="B266" s="114" t="s">
        <v>291</v>
      </c>
      <c r="C266" s="65">
        <v>14.6</v>
      </c>
      <c r="D266" s="66">
        <v>26</v>
      </c>
      <c r="E266" s="192">
        <f>SUM(D266:D270)</f>
        <v>231</v>
      </c>
      <c r="F266" s="63">
        <f>D266*100000/C266</f>
        <v>178082.19178082192</v>
      </c>
      <c r="G266" s="192">
        <f>SUM(F266:F270)</f>
        <v>3781073.6447722754</v>
      </c>
      <c r="H266" s="195">
        <f>E266*100000/G266</f>
        <v>6.109375846709078</v>
      </c>
    </row>
    <row r="267" spans="1:16" x14ac:dyDescent="0.25">
      <c r="A267" s="212"/>
      <c r="B267" s="114" t="s">
        <v>292</v>
      </c>
      <c r="C267" s="65">
        <v>3</v>
      </c>
      <c r="D267" s="66">
        <v>73</v>
      </c>
      <c r="E267" s="193"/>
      <c r="F267" s="66">
        <f t="shared" ref="F267:F283" si="10">D267*100000/C267</f>
        <v>2433333.3333333335</v>
      </c>
      <c r="G267" s="193"/>
      <c r="H267" s="196"/>
    </row>
    <row r="268" spans="1:16" x14ac:dyDescent="0.25">
      <c r="A268" s="212"/>
      <c r="B268" s="114" t="s">
        <v>293</v>
      </c>
      <c r="C268" s="65">
        <v>5.2</v>
      </c>
      <c r="D268" s="87">
        <v>8</v>
      </c>
      <c r="E268" s="193"/>
      <c r="F268" s="66">
        <f t="shared" si="10"/>
        <v>153846.15384615384</v>
      </c>
      <c r="G268" s="193"/>
      <c r="H268" s="196"/>
    </row>
    <row r="269" spans="1:16" x14ac:dyDescent="0.25">
      <c r="A269" s="212"/>
      <c r="B269" s="114" t="s">
        <v>294</v>
      </c>
      <c r="C269" s="65">
        <v>7.2</v>
      </c>
      <c r="D269" s="87">
        <v>10</v>
      </c>
      <c r="E269" s="193"/>
      <c r="F269" s="66">
        <f t="shared" si="10"/>
        <v>138888.88888888888</v>
      </c>
      <c r="G269" s="193"/>
      <c r="H269" s="196"/>
    </row>
    <row r="270" spans="1:16" x14ac:dyDescent="0.25">
      <c r="A270" s="211"/>
      <c r="B270" s="115" t="s">
        <v>269</v>
      </c>
      <c r="C270" s="68">
        <v>13</v>
      </c>
      <c r="D270" s="69">
        <v>114</v>
      </c>
      <c r="E270" s="194"/>
      <c r="F270" s="69">
        <f t="shared" si="10"/>
        <v>876923.07692307688</v>
      </c>
      <c r="G270" s="194"/>
      <c r="H270" s="197"/>
    </row>
    <row r="271" spans="1:16" x14ac:dyDescent="0.25">
      <c r="A271" s="210" t="s">
        <v>235</v>
      </c>
      <c r="B271" s="113" t="s">
        <v>295</v>
      </c>
      <c r="C271" s="62">
        <v>1.9</v>
      </c>
      <c r="D271" s="63">
        <v>41</v>
      </c>
      <c r="E271" s="192">
        <f>SUM(D271:D285)</f>
        <v>196</v>
      </c>
      <c r="F271" s="66">
        <f t="shared" si="10"/>
        <v>2157894.7368421052</v>
      </c>
      <c r="G271" s="193">
        <f>SUM(F271:F285)</f>
        <v>7655764.7485291036</v>
      </c>
      <c r="H271" s="196">
        <f>E271*100000/G271</f>
        <v>2.5601622625310858</v>
      </c>
      <c r="J271" s="239"/>
      <c r="K271" s="239"/>
      <c r="L271" s="239"/>
      <c r="M271" s="239"/>
      <c r="N271" s="239"/>
      <c r="O271" s="239"/>
      <c r="P271" s="239"/>
    </row>
    <row r="272" spans="1:16" x14ac:dyDescent="0.25">
      <c r="A272" s="212"/>
      <c r="B272" s="114" t="s">
        <v>296</v>
      </c>
      <c r="C272" s="65">
        <v>9</v>
      </c>
      <c r="D272" s="87">
        <v>63</v>
      </c>
      <c r="E272" s="193"/>
      <c r="F272" s="66">
        <f t="shared" si="10"/>
        <v>700000</v>
      </c>
      <c r="G272" s="193"/>
      <c r="H272" s="196"/>
      <c r="K272" s="50"/>
      <c r="L272" s="108"/>
      <c r="M272" s="108"/>
      <c r="N272" s="50"/>
      <c r="O272" s="50"/>
      <c r="P272" s="50"/>
    </row>
    <row r="273" spans="1:16" x14ac:dyDescent="0.25">
      <c r="A273" s="212"/>
      <c r="B273" s="114" t="s">
        <v>297</v>
      </c>
      <c r="C273" s="65">
        <v>0.8</v>
      </c>
      <c r="D273" s="87">
        <v>2</v>
      </c>
      <c r="E273" s="193"/>
      <c r="F273" s="66">
        <f t="shared" si="10"/>
        <v>250000</v>
      </c>
      <c r="G273" s="193"/>
      <c r="H273" s="196"/>
      <c r="J273" s="121"/>
      <c r="K273" s="50"/>
      <c r="L273" s="223"/>
      <c r="M273" s="108"/>
      <c r="N273" s="50"/>
      <c r="O273" s="77"/>
      <c r="P273" s="50"/>
    </row>
    <row r="274" spans="1:16" x14ac:dyDescent="0.25">
      <c r="A274" s="212"/>
      <c r="B274" s="114" t="s">
        <v>298</v>
      </c>
      <c r="C274" s="65">
        <v>2.5</v>
      </c>
      <c r="D274" s="87">
        <v>6</v>
      </c>
      <c r="E274" s="193"/>
      <c r="F274" s="66">
        <f t="shared" si="10"/>
        <v>240000</v>
      </c>
      <c r="G274" s="193"/>
      <c r="H274" s="196"/>
      <c r="K274" s="50"/>
      <c r="L274" s="223"/>
      <c r="M274" s="108"/>
      <c r="N274" s="50"/>
      <c r="O274" s="77"/>
      <c r="P274" s="50"/>
    </row>
    <row r="275" spans="1:16" x14ac:dyDescent="0.25">
      <c r="A275" s="212"/>
      <c r="B275" s="114" t="s">
        <v>299</v>
      </c>
      <c r="C275" s="65">
        <v>1.2</v>
      </c>
      <c r="D275" s="87">
        <v>4</v>
      </c>
      <c r="E275" s="193"/>
      <c r="F275" s="66">
        <f t="shared" si="10"/>
        <v>333333.33333333337</v>
      </c>
      <c r="G275" s="193"/>
      <c r="H275" s="196"/>
      <c r="K275" s="50"/>
      <c r="L275" s="223"/>
      <c r="M275" s="108"/>
      <c r="N275" s="50"/>
      <c r="O275" s="77"/>
      <c r="P275" s="50"/>
    </row>
    <row r="276" spans="1:16" x14ac:dyDescent="0.25">
      <c r="A276" s="212"/>
      <c r="B276" s="114" t="s">
        <v>300</v>
      </c>
      <c r="C276" s="65">
        <v>1</v>
      </c>
      <c r="D276" s="87">
        <v>2</v>
      </c>
      <c r="E276" s="193"/>
      <c r="F276" s="66">
        <f t="shared" si="10"/>
        <v>200000</v>
      </c>
      <c r="G276" s="193"/>
      <c r="H276" s="196"/>
      <c r="K276" s="50"/>
      <c r="L276" s="50"/>
      <c r="M276" s="50"/>
      <c r="N276" s="50"/>
      <c r="O276" s="50"/>
      <c r="P276" s="50"/>
    </row>
    <row r="277" spans="1:16" x14ac:dyDescent="0.25">
      <c r="A277" s="212"/>
      <c r="B277" s="114" t="s">
        <v>301</v>
      </c>
      <c r="C277" s="65">
        <v>1.5</v>
      </c>
      <c r="D277" s="87">
        <v>7</v>
      </c>
      <c r="E277" s="193"/>
      <c r="F277" s="66">
        <f t="shared" si="10"/>
        <v>466666.66666666669</v>
      </c>
      <c r="G277" s="193"/>
      <c r="H277" s="196"/>
      <c r="K277" s="50"/>
      <c r="L277" s="50"/>
      <c r="M277" s="50"/>
      <c r="N277" s="50"/>
      <c r="O277" s="50"/>
      <c r="P277" s="50"/>
    </row>
    <row r="278" spans="1:16" x14ac:dyDescent="0.25">
      <c r="A278" s="212"/>
      <c r="B278" s="114" t="s">
        <v>302</v>
      </c>
      <c r="C278" s="65">
        <v>4.3</v>
      </c>
      <c r="D278" s="87">
        <v>17</v>
      </c>
      <c r="E278" s="193"/>
      <c r="F278" s="66">
        <f t="shared" si="10"/>
        <v>395348.83720930235</v>
      </c>
      <c r="G278" s="193"/>
      <c r="H278" s="196"/>
      <c r="K278" s="50"/>
      <c r="L278" s="50"/>
      <c r="M278" s="50"/>
      <c r="N278" s="50"/>
      <c r="O278" s="50"/>
      <c r="P278" s="50"/>
    </row>
    <row r="279" spans="1:16" x14ac:dyDescent="0.25">
      <c r="A279" s="212"/>
      <c r="B279" s="114" t="s">
        <v>303</v>
      </c>
      <c r="C279" s="65">
        <v>4.5999999999999996</v>
      </c>
      <c r="D279" s="87">
        <v>33</v>
      </c>
      <c r="E279" s="193"/>
      <c r="F279" s="66">
        <f t="shared" si="10"/>
        <v>717391.30434782617</v>
      </c>
      <c r="G279" s="193"/>
      <c r="H279" s="196"/>
      <c r="K279" s="50"/>
      <c r="L279" s="50"/>
      <c r="M279" s="50"/>
      <c r="N279" s="50"/>
      <c r="O279" s="50"/>
      <c r="P279" s="50"/>
    </row>
    <row r="280" spans="1:16" x14ac:dyDescent="0.25">
      <c r="A280" s="212"/>
      <c r="B280" s="114" t="s">
        <v>304</v>
      </c>
      <c r="C280" s="65">
        <v>0.8</v>
      </c>
      <c r="D280" s="66">
        <v>9</v>
      </c>
      <c r="E280" s="193"/>
      <c r="F280" s="66">
        <f t="shared" si="10"/>
        <v>1125000</v>
      </c>
      <c r="G280" s="193"/>
      <c r="H280" s="196"/>
      <c r="K280" s="50"/>
      <c r="L280" s="50"/>
      <c r="M280" s="50"/>
      <c r="N280" s="50"/>
      <c r="O280" s="50"/>
      <c r="P280" s="50"/>
    </row>
    <row r="281" spans="1:16" x14ac:dyDescent="0.25">
      <c r="A281" s="212"/>
      <c r="B281" s="114" t="s">
        <v>305</v>
      </c>
      <c r="C281" s="65">
        <v>1.1000000000000001</v>
      </c>
      <c r="D281" s="66">
        <v>8</v>
      </c>
      <c r="E281" s="193"/>
      <c r="F281" s="66">
        <f t="shared" si="10"/>
        <v>727272.72727272718</v>
      </c>
      <c r="G281" s="193"/>
      <c r="H281" s="196"/>
      <c r="K281" s="50"/>
      <c r="L281" s="50"/>
      <c r="M281" s="50"/>
      <c r="N281" s="50"/>
      <c r="O281" s="50"/>
      <c r="P281" s="50"/>
    </row>
    <row r="282" spans="1:16" x14ac:dyDescent="0.25">
      <c r="A282" s="212"/>
      <c r="B282" s="114" t="s">
        <v>306</v>
      </c>
      <c r="C282" s="65">
        <v>1.4</v>
      </c>
      <c r="D282" s="66">
        <v>2</v>
      </c>
      <c r="E282" s="193"/>
      <c r="F282" s="66">
        <f t="shared" si="10"/>
        <v>142857.14285714287</v>
      </c>
      <c r="G282" s="193"/>
      <c r="H282" s="196"/>
      <c r="K282" s="50"/>
      <c r="L282" s="50"/>
      <c r="M282" s="50"/>
      <c r="N282" s="50"/>
      <c r="O282" s="50"/>
      <c r="P282" s="50"/>
    </row>
    <row r="283" spans="1:16" x14ac:dyDescent="0.25">
      <c r="A283" s="212"/>
      <c r="B283" s="114" t="s">
        <v>307</v>
      </c>
      <c r="C283" s="65">
        <v>1</v>
      </c>
      <c r="D283" s="66">
        <v>2</v>
      </c>
      <c r="E283" s="193"/>
      <c r="F283" s="66">
        <f t="shared" si="10"/>
        <v>200000</v>
      </c>
      <c r="G283" s="193"/>
      <c r="H283" s="196"/>
      <c r="K283" s="50"/>
      <c r="L283" s="50"/>
      <c r="M283" s="50"/>
      <c r="N283" s="50"/>
      <c r="O283" s="50"/>
      <c r="P283" s="50"/>
    </row>
    <row r="284" spans="1:16" x14ac:dyDescent="0.25">
      <c r="A284" s="212"/>
      <c r="B284" s="114" t="s">
        <v>308</v>
      </c>
      <c r="C284" s="65"/>
      <c r="D284" s="66">
        <v>0</v>
      </c>
      <c r="E284" s="193"/>
      <c r="F284" s="66"/>
      <c r="G284" s="193"/>
      <c r="H284" s="196"/>
      <c r="K284" s="50"/>
      <c r="L284" s="50"/>
      <c r="M284" s="50"/>
      <c r="N284" s="50"/>
      <c r="O284" s="50"/>
      <c r="P284" s="50"/>
    </row>
    <row r="285" spans="1:16" x14ac:dyDescent="0.25">
      <c r="A285" s="211"/>
      <c r="B285" s="115" t="s">
        <v>309</v>
      </c>
      <c r="C285" s="68"/>
      <c r="D285" s="69">
        <v>0</v>
      </c>
      <c r="E285" s="194"/>
      <c r="F285" s="69"/>
      <c r="G285" s="194"/>
      <c r="H285" s="197"/>
      <c r="K285" s="50"/>
      <c r="L285" s="50"/>
      <c r="M285" s="50"/>
      <c r="N285" s="50"/>
      <c r="O285" s="50"/>
      <c r="P285" s="50"/>
    </row>
    <row r="286" spans="1:16" x14ac:dyDescent="0.25">
      <c r="A286" s="116"/>
      <c r="B286" s="114" t="s">
        <v>310</v>
      </c>
      <c r="C286" s="65"/>
      <c r="D286" s="79">
        <v>0</v>
      </c>
      <c r="E286" s="82"/>
      <c r="F286" s="66"/>
      <c r="G286" s="85"/>
      <c r="H286" s="84"/>
      <c r="K286" s="50"/>
      <c r="L286" s="50"/>
      <c r="M286" s="50"/>
      <c r="N286" s="50"/>
      <c r="O286" s="50"/>
      <c r="P286" s="50"/>
    </row>
    <row r="287" spans="1:16" x14ac:dyDescent="0.25">
      <c r="A287" s="116"/>
      <c r="B287" s="114"/>
      <c r="C287" s="65"/>
      <c r="D287" s="64"/>
      <c r="E287" s="82"/>
      <c r="F287" s="66"/>
      <c r="G287" s="83"/>
      <c r="H287" s="84"/>
      <c r="K287" s="50"/>
      <c r="L287" s="50"/>
      <c r="M287" s="50"/>
      <c r="N287" s="50"/>
      <c r="O287" s="50"/>
      <c r="P287" s="50"/>
    </row>
    <row r="288" spans="1:16" x14ac:dyDescent="0.25">
      <c r="A288" s="116"/>
      <c r="B288" s="114"/>
      <c r="C288" s="65"/>
      <c r="D288" s="64"/>
      <c r="E288" s="82"/>
      <c r="F288" s="66"/>
      <c r="G288" s="85"/>
      <c r="H288" s="84"/>
      <c r="K288" s="50"/>
      <c r="L288" s="50"/>
      <c r="M288" s="50"/>
      <c r="N288" s="50"/>
      <c r="O288" s="50"/>
      <c r="P288" s="50"/>
    </row>
    <row r="289" spans="1:16" x14ac:dyDescent="0.25">
      <c r="A289" s="105"/>
      <c r="B289" s="105"/>
      <c r="C289" s="203" t="s">
        <v>238</v>
      </c>
      <c r="D289" s="203"/>
      <c r="E289" s="203"/>
      <c r="F289" s="204" t="s">
        <v>263</v>
      </c>
      <c r="G289" s="204"/>
      <c r="H289" s="198" t="s">
        <v>361</v>
      </c>
      <c r="K289" s="50"/>
      <c r="L289" s="50"/>
      <c r="M289" s="50"/>
      <c r="N289" s="50"/>
      <c r="O289" s="50"/>
      <c r="P289" s="50"/>
    </row>
    <row r="290" spans="1:16" x14ac:dyDescent="0.25">
      <c r="A290" s="105"/>
      <c r="B290" s="105"/>
      <c r="C290" s="199" t="s">
        <v>359</v>
      </c>
      <c r="D290" s="201" t="s">
        <v>360</v>
      </c>
      <c r="E290" s="201" t="s">
        <v>365</v>
      </c>
      <c r="F290" s="143" t="s">
        <v>362</v>
      </c>
      <c r="G290" s="143" t="s">
        <v>363</v>
      </c>
      <c r="H290" s="198"/>
      <c r="K290" s="50"/>
      <c r="L290" s="50"/>
      <c r="M290" s="50"/>
      <c r="N290" s="50"/>
      <c r="O290" s="50"/>
      <c r="P290" s="50"/>
    </row>
    <row r="291" spans="1:16" x14ac:dyDescent="0.25">
      <c r="A291" s="107" t="s">
        <v>326</v>
      </c>
      <c r="B291" s="107"/>
      <c r="C291" s="200"/>
      <c r="D291" s="202"/>
      <c r="E291" s="202"/>
      <c r="F291" s="143" t="s">
        <v>366</v>
      </c>
      <c r="G291" s="143" t="s">
        <v>367</v>
      </c>
      <c r="H291" s="106" t="s">
        <v>368</v>
      </c>
    </row>
    <row r="292" spans="1:16" x14ac:dyDescent="0.25">
      <c r="A292" s="122" t="s">
        <v>233</v>
      </c>
      <c r="B292" s="117" t="s">
        <v>290</v>
      </c>
      <c r="C292" s="57">
        <v>14</v>
      </c>
      <c r="D292" s="58">
        <v>48</v>
      </c>
      <c r="E292" s="59">
        <f>D292</f>
        <v>48</v>
      </c>
      <c r="F292" s="58">
        <f>D292*100000/C292</f>
        <v>342857.14285714284</v>
      </c>
      <c r="G292" s="59">
        <f>F292</f>
        <v>342857.14285714284</v>
      </c>
      <c r="H292" s="60">
        <f>E292*100000/G292</f>
        <v>14</v>
      </c>
    </row>
    <row r="293" spans="1:16" x14ac:dyDescent="0.25">
      <c r="A293" s="210" t="s">
        <v>234</v>
      </c>
      <c r="B293" s="113" t="s">
        <v>291</v>
      </c>
      <c r="C293" s="62">
        <v>21</v>
      </c>
      <c r="D293" s="63">
        <v>25</v>
      </c>
      <c r="E293" s="192">
        <f>SUM(D293:D297)</f>
        <v>284</v>
      </c>
      <c r="F293" s="66">
        <f t="shared" ref="F293:F310" si="11">D293*100000/C293</f>
        <v>119047.61904761905</v>
      </c>
      <c r="G293" s="192">
        <f>SUM(F293:F297)</f>
        <v>3021320.346320346</v>
      </c>
      <c r="H293" s="195">
        <f>E293*100000/G293</f>
        <v>9.3998638822223022</v>
      </c>
    </row>
    <row r="294" spans="1:16" x14ac:dyDescent="0.25">
      <c r="A294" s="212"/>
      <c r="B294" s="114" t="s">
        <v>292</v>
      </c>
      <c r="C294" s="65">
        <v>4</v>
      </c>
      <c r="D294" s="66">
        <v>90</v>
      </c>
      <c r="E294" s="193"/>
      <c r="F294" s="66">
        <f t="shared" si="11"/>
        <v>2250000</v>
      </c>
      <c r="G294" s="193"/>
      <c r="H294" s="196"/>
    </row>
    <row r="295" spans="1:16" x14ac:dyDescent="0.25">
      <c r="A295" s="212"/>
      <c r="B295" s="114" t="s">
        <v>293</v>
      </c>
      <c r="C295" s="65">
        <v>11</v>
      </c>
      <c r="D295" s="66">
        <v>14</v>
      </c>
      <c r="E295" s="193"/>
      <c r="F295" s="66">
        <f t="shared" si="11"/>
        <v>127272.72727272728</v>
      </c>
      <c r="G295" s="193"/>
      <c r="H295" s="196"/>
    </row>
    <row r="296" spans="1:16" x14ac:dyDescent="0.25">
      <c r="A296" s="212"/>
      <c r="B296" s="114" t="s">
        <v>294</v>
      </c>
      <c r="C296" s="65">
        <v>19</v>
      </c>
      <c r="D296" s="66">
        <v>19</v>
      </c>
      <c r="E296" s="193"/>
      <c r="F296" s="66">
        <f t="shared" si="11"/>
        <v>100000</v>
      </c>
      <c r="G296" s="193"/>
      <c r="H296" s="196"/>
    </row>
    <row r="297" spans="1:16" x14ac:dyDescent="0.25">
      <c r="A297" s="211"/>
      <c r="B297" s="115" t="s">
        <v>269</v>
      </c>
      <c r="C297" s="68">
        <v>32</v>
      </c>
      <c r="D297" s="69">
        <v>136</v>
      </c>
      <c r="E297" s="194"/>
      <c r="F297" s="69">
        <f t="shared" si="11"/>
        <v>425000</v>
      </c>
      <c r="G297" s="194"/>
      <c r="H297" s="197"/>
    </row>
    <row r="298" spans="1:16" x14ac:dyDescent="0.25">
      <c r="A298" s="210" t="s">
        <v>235</v>
      </c>
      <c r="B298" s="113" t="s">
        <v>295</v>
      </c>
      <c r="C298" s="62">
        <v>6</v>
      </c>
      <c r="D298" s="63">
        <v>36</v>
      </c>
      <c r="E298" s="192">
        <f>SUM(D298:D312)</f>
        <v>165</v>
      </c>
      <c r="F298" s="63">
        <f t="shared" si="11"/>
        <v>600000</v>
      </c>
      <c r="G298" s="192">
        <f>SUM(F298:F312)</f>
        <v>2529292.9292929289</v>
      </c>
      <c r="H298" s="195">
        <f>E298*100000/G298</f>
        <v>6.5235623003194902</v>
      </c>
    </row>
    <row r="299" spans="1:16" x14ac:dyDescent="0.25">
      <c r="A299" s="212"/>
      <c r="B299" s="114" t="s">
        <v>296</v>
      </c>
      <c r="C299" s="65">
        <v>16</v>
      </c>
      <c r="D299" s="66">
        <v>56</v>
      </c>
      <c r="E299" s="193"/>
      <c r="F299" s="66">
        <f t="shared" si="11"/>
        <v>350000</v>
      </c>
      <c r="G299" s="193"/>
      <c r="H299" s="196"/>
    </row>
    <row r="300" spans="1:16" x14ac:dyDescent="0.25">
      <c r="A300" s="212"/>
      <c r="B300" s="114" t="s">
        <v>297</v>
      </c>
      <c r="C300" s="65">
        <v>2</v>
      </c>
      <c r="D300" s="66">
        <v>3</v>
      </c>
      <c r="E300" s="193"/>
      <c r="F300" s="66">
        <f t="shared" si="11"/>
        <v>150000</v>
      </c>
      <c r="G300" s="193"/>
      <c r="H300" s="196"/>
    </row>
    <row r="301" spans="1:16" x14ac:dyDescent="0.25">
      <c r="A301" s="212"/>
      <c r="B301" s="114" t="s">
        <v>298</v>
      </c>
      <c r="C301" s="65">
        <v>7</v>
      </c>
      <c r="D301" s="66">
        <v>7</v>
      </c>
      <c r="E301" s="193"/>
      <c r="F301" s="66">
        <f t="shared" si="11"/>
        <v>100000</v>
      </c>
      <c r="G301" s="193"/>
      <c r="H301" s="196"/>
    </row>
    <row r="302" spans="1:16" x14ac:dyDescent="0.25">
      <c r="A302" s="212"/>
      <c r="B302" s="114" t="s">
        <v>299</v>
      </c>
      <c r="C302" s="65">
        <v>3</v>
      </c>
      <c r="D302" s="66">
        <v>4</v>
      </c>
      <c r="E302" s="193"/>
      <c r="F302" s="66">
        <f t="shared" si="11"/>
        <v>133333.33333333334</v>
      </c>
      <c r="G302" s="193"/>
      <c r="H302" s="196"/>
    </row>
    <row r="303" spans="1:16" x14ac:dyDescent="0.25">
      <c r="A303" s="212"/>
      <c r="B303" s="114" t="s">
        <v>300</v>
      </c>
      <c r="C303" s="65">
        <v>0</v>
      </c>
      <c r="D303" s="66">
        <v>0</v>
      </c>
      <c r="E303" s="193"/>
      <c r="F303" s="66"/>
      <c r="G303" s="193"/>
      <c r="H303" s="196"/>
    </row>
    <row r="304" spans="1:16" x14ac:dyDescent="0.25">
      <c r="A304" s="212"/>
      <c r="B304" s="114" t="s">
        <v>301</v>
      </c>
      <c r="C304" s="65">
        <v>9</v>
      </c>
      <c r="D304" s="66">
        <v>11</v>
      </c>
      <c r="E304" s="193"/>
      <c r="F304" s="66">
        <f t="shared" si="11"/>
        <v>122222.22222222222</v>
      </c>
      <c r="G304" s="193"/>
      <c r="H304" s="196"/>
    </row>
    <row r="305" spans="1:16" x14ac:dyDescent="0.25">
      <c r="A305" s="212"/>
      <c r="B305" s="114" t="s">
        <v>302</v>
      </c>
      <c r="C305" s="65">
        <v>22</v>
      </c>
      <c r="D305" s="66">
        <v>26</v>
      </c>
      <c r="E305" s="193"/>
      <c r="F305" s="66">
        <f t="shared" si="11"/>
        <v>118181.81818181818</v>
      </c>
      <c r="G305" s="193"/>
      <c r="H305" s="196"/>
    </row>
    <row r="306" spans="1:16" x14ac:dyDescent="0.25">
      <c r="A306" s="212"/>
      <c r="B306" s="114" t="s">
        <v>303</v>
      </c>
      <c r="C306" s="65">
        <v>4</v>
      </c>
      <c r="D306" s="66">
        <v>6</v>
      </c>
      <c r="E306" s="193"/>
      <c r="F306" s="66">
        <f t="shared" si="11"/>
        <v>150000</v>
      </c>
      <c r="G306" s="193"/>
      <c r="H306" s="196"/>
    </row>
    <row r="307" spans="1:16" x14ac:dyDescent="0.25">
      <c r="A307" s="212"/>
      <c r="B307" s="114" t="s">
        <v>304</v>
      </c>
      <c r="C307" s="65">
        <v>2</v>
      </c>
      <c r="D307" s="66">
        <v>7</v>
      </c>
      <c r="E307" s="193"/>
      <c r="F307" s="66">
        <f t="shared" si="11"/>
        <v>350000</v>
      </c>
      <c r="G307" s="193"/>
      <c r="H307" s="196"/>
    </row>
    <row r="308" spans="1:16" x14ac:dyDescent="0.25">
      <c r="A308" s="212"/>
      <c r="B308" s="114" t="s">
        <v>305</v>
      </c>
      <c r="C308" s="65">
        <v>1</v>
      </c>
      <c r="D308" s="66">
        <v>3</v>
      </c>
      <c r="E308" s="193"/>
      <c r="F308" s="66">
        <f t="shared" si="11"/>
        <v>300000</v>
      </c>
      <c r="G308" s="193"/>
      <c r="H308" s="196"/>
      <c r="K308" s="50"/>
      <c r="L308" s="50"/>
      <c r="M308" s="50"/>
      <c r="N308" s="50"/>
      <c r="O308" s="50"/>
      <c r="P308" s="50"/>
    </row>
    <row r="309" spans="1:16" x14ac:dyDescent="0.25">
      <c r="A309" s="212"/>
      <c r="B309" s="114" t="s">
        <v>306</v>
      </c>
      <c r="C309" s="65">
        <v>1</v>
      </c>
      <c r="D309" s="66">
        <v>1</v>
      </c>
      <c r="E309" s="193"/>
      <c r="F309" s="66">
        <f t="shared" si="11"/>
        <v>100000</v>
      </c>
      <c r="G309" s="193"/>
      <c r="H309" s="196"/>
      <c r="K309" s="50"/>
      <c r="L309" s="50"/>
      <c r="M309" s="50"/>
      <c r="N309" s="50"/>
      <c r="O309" s="50"/>
      <c r="P309" s="50"/>
    </row>
    <row r="310" spans="1:16" x14ac:dyDescent="0.25">
      <c r="A310" s="212"/>
      <c r="B310" s="114" t="s">
        <v>307</v>
      </c>
      <c r="C310" s="65">
        <v>9</v>
      </c>
      <c r="D310" s="66">
        <v>5</v>
      </c>
      <c r="E310" s="193"/>
      <c r="F310" s="66">
        <f t="shared" si="11"/>
        <v>55555.555555555555</v>
      </c>
      <c r="G310" s="193"/>
      <c r="H310" s="196"/>
      <c r="K310" s="50"/>
      <c r="L310" s="50"/>
      <c r="M310" s="50"/>
      <c r="N310" s="50"/>
      <c r="O310" s="50"/>
      <c r="P310" s="50"/>
    </row>
    <row r="311" spans="1:16" x14ac:dyDescent="0.25">
      <c r="A311" s="212"/>
      <c r="B311" s="114" t="s">
        <v>308</v>
      </c>
      <c r="C311" s="65">
        <v>0</v>
      </c>
      <c r="D311" s="66">
        <v>0</v>
      </c>
      <c r="E311" s="193"/>
      <c r="F311" s="66"/>
      <c r="G311" s="193"/>
      <c r="H311" s="196"/>
      <c r="K311" s="50"/>
      <c r="L311" s="50"/>
      <c r="M311" s="50"/>
      <c r="N311" s="50"/>
      <c r="O311" s="50"/>
      <c r="P311" s="50"/>
    </row>
    <row r="312" spans="1:16" x14ac:dyDescent="0.25">
      <c r="A312" s="211"/>
      <c r="B312" s="115" t="s">
        <v>309</v>
      </c>
      <c r="C312" s="68">
        <v>0</v>
      </c>
      <c r="D312" s="69">
        <v>0</v>
      </c>
      <c r="E312" s="194"/>
      <c r="F312" s="69"/>
      <c r="G312" s="194"/>
      <c r="H312" s="197"/>
      <c r="K312" s="50"/>
      <c r="L312" s="50"/>
      <c r="M312" s="50"/>
      <c r="N312" s="50"/>
      <c r="O312" s="50"/>
      <c r="P312" s="50"/>
    </row>
    <row r="313" spans="1:16" x14ac:dyDescent="0.25">
      <c r="A313" s="116"/>
      <c r="B313" s="114"/>
      <c r="C313" s="65"/>
      <c r="D313" s="64"/>
      <c r="E313" s="82"/>
      <c r="F313" s="66"/>
      <c r="G313" s="83"/>
      <c r="H313" s="84"/>
      <c r="K313" s="50"/>
      <c r="L313" s="50"/>
      <c r="M313" s="50"/>
      <c r="N313" s="50"/>
      <c r="O313" s="50"/>
      <c r="P313" s="50"/>
    </row>
    <row r="314" spans="1:16" x14ac:dyDescent="0.25">
      <c r="A314" s="128"/>
      <c r="B314" s="114"/>
      <c r="C314" s="65"/>
      <c r="D314" s="64"/>
      <c r="E314" s="129"/>
      <c r="F314" s="66"/>
      <c r="G314" s="83"/>
      <c r="H314" s="84"/>
      <c r="K314" s="50"/>
      <c r="L314" s="50"/>
      <c r="M314" s="50"/>
      <c r="N314" s="50"/>
      <c r="O314" s="50"/>
      <c r="P314" s="50"/>
    </row>
    <row r="315" spans="1:16" x14ac:dyDescent="0.25">
      <c r="A315" s="105"/>
      <c r="B315" s="105"/>
      <c r="C315" s="203" t="s">
        <v>238</v>
      </c>
      <c r="D315" s="203"/>
      <c r="E315" s="203"/>
      <c r="F315" s="204" t="s">
        <v>263</v>
      </c>
      <c r="G315" s="204"/>
      <c r="H315" s="198" t="s">
        <v>361</v>
      </c>
      <c r="K315" s="50"/>
      <c r="L315" s="50"/>
      <c r="M315" s="50"/>
      <c r="N315" s="50"/>
      <c r="O315" s="50"/>
      <c r="P315" s="50"/>
    </row>
    <row r="316" spans="1:16" x14ac:dyDescent="0.25">
      <c r="A316" s="105"/>
      <c r="B316" s="105"/>
      <c r="C316" s="199" t="s">
        <v>359</v>
      </c>
      <c r="D316" s="201" t="s">
        <v>360</v>
      </c>
      <c r="E316" s="201" t="s">
        <v>365</v>
      </c>
      <c r="F316" s="143" t="s">
        <v>362</v>
      </c>
      <c r="G316" s="143" t="s">
        <v>363</v>
      </c>
      <c r="H316" s="198"/>
      <c r="K316" s="50"/>
      <c r="L316" s="50"/>
      <c r="M316" s="50"/>
      <c r="N316" s="50"/>
      <c r="O316" s="50"/>
      <c r="P316" s="50"/>
    </row>
    <row r="317" spans="1:16" x14ac:dyDescent="0.25">
      <c r="A317" s="105" t="s">
        <v>344</v>
      </c>
      <c r="B317" s="107"/>
      <c r="C317" s="200"/>
      <c r="D317" s="202"/>
      <c r="E317" s="202"/>
      <c r="F317" s="143" t="s">
        <v>366</v>
      </c>
      <c r="G317" s="143" t="s">
        <v>367</v>
      </c>
      <c r="H317" s="106" t="s">
        <v>368</v>
      </c>
      <c r="K317" s="50"/>
      <c r="L317" s="50"/>
      <c r="M317" s="50"/>
      <c r="N317" s="50"/>
      <c r="O317" s="50"/>
      <c r="P317" s="50"/>
    </row>
    <row r="318" spans="1:16" x14ac:dyDescent="0.25">
      <c r="A318" s="117" t="s">
        <v>233</v>
      </c>
      <c r="B318" s="117" t="s">
        <v>290</v>
      </c>
      <c r="C318" s="125">
        <v>2.0499999999999998</v>
      </c>
      <c r="D318" s="57">
        <v>2</v>
      </c>
      <c r="E318" s="59">
        <f>D318</f>
        <v>2</v>
      </c>
      <c r="F318" s="58">
        <f t="shared" ref="F318:F327" si="12">D318*100000/C318</f>
        <v>97560.975609756104</v>
      </c>
      <c r="G318" s="59">
        <f>F318</f>
        <v>97560.975609756104</v>
      </c>
      <c r="H318" s="60">
        <f>E318*100000/G318</f>
        <v>2.0499999999999998</v>
      </c>
      <c r="K318" s="50"/>
      <c r="L318" s="50"/>
      <c r="M318" s="50"/>
      <c r="N318" s="50"/>
      <c r="O318" s="50"/>
      <c r="P318" s="50"/>
    </row>
    <row r="319" spans="1:16" x14ac:dyDescent="0.25">
      <c r="A319" s="210" t="s">
        <v>234</v>
      </c>
      <c r="B319" s="114" t="s">
        <v>291</v>
      </c>
      <c r="C319" s="84">
        <v>51</v>
      </c>
      <c r="D319" s="65">
        <v>10</v>
      </c>
      <c r="E319" s="192">
        <f>SUM(D319:D323)</f>
        <v>540.5</v>
      </c>
      <c r="F319" s="66">
        <f t="shared" si="12"/>
        <v>19607.843137254902</v>
      </c>
      <c r="G319" s="192">
        <f>SUM(F319:F323)</f>
        <v>2311416.903082577</v>
      </c>
      <c r="H319" s="195">
        <f>E319*100000/G319</f>
        <v>23.383925213974706</v>
      </c>
      <c r="K319" s="50"/>
      <c r="L319" s="50"/>
      <c r="M319" s="50"/>
      <c r="N319" s="50"/>
      <c r="O319" s="50"/>
      <c r="P319" s="50"/>
    </row>
    <row r="320" spans="1:16" x14ac:dyDescent="0.25">
      <c r="A320" s="212"/>
      <c r="B320" s="114" t="s">
        <v>292</v>
      </c>
      <c r="C320" s="84">
        <v>22.85</v>
      </c>
      <c r="D320" s="65">
        <v>194</v>
      </c>
      <c r="E320" s="193"/>
      <c r="F320" s="66">
        <f t="shared" si="12"/>
        <v>849015.31728665205</v>
      </c>
      <c r="G320" s="193"/>
      <c r="H320" s="196"/>
      <c r="K320" s="50"/>
      <c r="L320" s="50"/>
      <c r="M320" s="50"/>
      <c r="N320" s="50"/>
      <c r="O320" s="50"/>
      <c r="P320" s="50"/>
    </row>
    <row r="321" spans="1:16" x14ac:dyDescent="0.25">
      <c r="A321" s="212"/>
      <c r="B321" s="114" t="s">
        <v>293</v>
      </c>
      <c r="C321" s="84">
        <v>40.85</v>
      </c>
      <c r="D321" s="65">
        <v>8.5</v>
      </c>
      <c r="E321" s="193"/>
      <c r="F321" s="66">
        <f t="shared" si="12"/>
        <v>20807.833537331702</v>
      </c>
      <c r="G321" s="193"/>
      <c r="H321" s="196"/>
      <c r="K321" s="50"/>
      <c r="L321" s="50"/>
      <c r="M321" s="50"/>
      <c r="N321" s="50"/>
      <c r="O321" s="50"/>
      <c r="P321" s="50"/>
    </row>
    <row r="322" spans="1:16" x14ac:dyDescent="0.25">
      <c r="A322" s="212"/>
      <c r="B322" s="114" t="s">
        <v>294</v>
      </c>
      <c r="C322" s="84">
        <v>54.65</v>
      </c>
      <c r="D322" s="65">
        <v>12.5</v>
      </c>
      <c r="E322" s="193"/>
      <c r="F322" s="66">
        <f t="shared" si="12"/>
        <v>22872.827081427266</v>
      </c>
      <c r="G322" s="193"/>
      <c r="H322" s="196"/>
      <c r="K322" s="50"/>
      <c r="L322" s="50"/>
      <c r="M322" s="50"/>
      <c r="N322" s="50"/>
      <c r="O322" s="50"/>
      <c r="P322" s="50"/>
    </row>
    <row r="323" spans="1:16" x14ac:dyDescent="0.25">
      <c r="A323" s="211"/>
      <c r="B323" s="115" t="s">
        <v>269</v>
      </c>
      <c r="C323" s="126">
        <v>22.55</v>
      </c>
      <c r="D323" s="68">
        <v>315.5</v>
      </c>
      <c r="E323" s="194"/>
      <c r="F323" s="69">
        <f t="shared" si="12"/>
        <v>1399113.0820399113</v>
      </c>
      <c r="G323" s="194"/>
      <c r="H323" s="197"/>
      <c r="K323" s="50"/>
      <c r="L323" s="50"/>
      <c r="M323" s="50"/>
      <c r="N323" s="50"/>
      <c r="O323" s="50"/>
      <c r="P323" s="50"/>
    </row>
    <row r="324" spans="1:16" x14ac:dyDescent="0.25">
      <c r="A324" s="210" t="s">
        <v>235</v>
      </c>
      <c r="B324" s="113" t="s">
        <v>295</v>
      </c>
      <c r="C324" s="81">
        <v>3.45</v>
      </c>
      <c r="D324" s="62">
        <v>48</v>
      </c>
      <c r="E324" s="192">
        <f>SUM(D324:D339)</f>
        <v>770</v>
      </c>
      <c r="F324" s="66">
        <f t="shared" si="12"/>
        <v>1391304.3478260869</v>
      </c>
      <c r="G324" s="192">
        <f>SUM(F324:F339)</f>
        <v>3941935.2283818526</v>
      </c>
      <c r="H324" s="195">
        <f>E324*100000/G324</f>
        <v>19.533552820858542</v>
      </c>
      <c r="K324" s="50"/>
      <c r="L324" s="50"/>
      <c r="M324" s="50"/>
      <c r="N324" s="50"/>
      <c r="O324" s="50"/>
      <c r="P324" s="50"/>
    </row>
    <row r="325" spans="1:16" x14ac:dyDescent="0.25">
      <c r="A325" s="212"/>
      <c r="B325" s="114" t="s">
        <v>296</v>
      </c>
      <c r="C325" s="84">
        <v>19.75</v>
      </c>
      <c r="D325" s="65">
        <v>150.5</v>
      </c>
      <c r="E325" s="193"/>
      <c r="F325" s="66">
        <f t="shared" si="12"/>
        <v>762025.31645569624</v>
      </c>
      <c r="G325" s="193"/>
      <c r="H325" s="196"/>
      <c r="K325" s="50"/>
      <c r="L325" s="50"/>
      <c r="M325" s="50"/>
      <c r="N325" s="50"/>
      <c r="O325" s="50"/>
      <c r="P325" s="50"/>
    </row>
    <row r="326" spans="1:16" x14ac:dyDescent="0.25">
      <c r="A326" s="212"/>
      <c r="B326" s="114" t="s">
        <v>297</v>
      </c>
      <c r="C326" s="84">
        <v>5.15</v>
      </c>
      <c r="D326" s="65">
        <v>9.5</v>
      </c>
      <c r="E326" s="193"/>
      <c r="F326" s="66">
        <f t="shared" si="12"/>
        <v>184466.01941747571</v>
      </c>
      <c r="G326" s="193"/>
      <c r="H326" s="196"/>
      <c r="K326" s="50"/>
      <c r="L326" s="50"/>
      <c r="M326" s="50"/>
      <c r="N326" s="50"/>
      <c r="O326" s="50"/>
      <c r="P326" s="50"/>
    </row>
    <row r="327" spans="1:16" x14ac:dyDescent="0.25">
      <c r="A327" s="212"/>
      <c r="B327" s="114" t="s">
        <v>298</v>
      </c>
      <c r="C327" s="84">
        <v>28.25</v>
      </c>
      <c r="D327" s="65">
        <v>8</v>
      </c>
      <c r="E327" s="193"/>
      <c r="F327" s="66">
        <f t="shared" si="12"/>
        <v>28318.58407079646</v>
      </c>
      <c r="G327" s="193"/>
      <c r="H327" s="196"/>
      <c r="K327" s="50"/>
      <c r="L327" s="50"/>
      <c r="M327" s="50"/>
      <c r="N327" s="50"/>
      <c r="O327" s="50"/>
      <c r="P327" s="50"/>
    </row>
    <row r="328" spans="1:16" x14ac:dyDescent="0.25">
      <c r="A328" s="212"/>
      <c r="B328" s="114" t="s">
        <v>299</v>
      </c>
      <c r="C328" s="84">
        <v>0</v>
      </c>
      <c r="D328" s="65">
        <v>1.5</v>
      </c>
      <c r="E328" s="193"/>
      <c r="F328" s="66"/>
      <c r="G328" s="193"/>
      <c r="H328" s="196"/>
      <c r="K328" s="50"/>
      <c r="L328" s="50"/>
      <c r="M328" s="50"/>
      <c r="N328" s="50"/>
      <c r="O328" s="50"/>
      <c r="P328" s="50"/>
    </row>
    <row r="329" spans="1:16" x14ac:dyDescent="0.25">
      <c r="A329" s="212"/>
      <c r="B329" s="114" t="s">
        <v>300</v>
      </c>
      <c r="C329" s="84">
        <v>0</v>
      </c>
      <c r="D329" s="65">
        <v>0.5</v>
      </c>
      <c r="E329" s="193"/>
      <c r="F329" s="66"/>
      <c r="G329" s="193"/>
      <c r="H329" s="196"/>
      <c r="K329" s="50"/>
      <c r="L329" s="50"/>
      <c r="M329" s="50"/>
      <c r="N329" s="50"/>
      <c r="O329" s="50"/>
      <c r="P329" s="50"/>
    </row>
    <row r="330" spans="1:16" x14ac:dyDescent="0.25">
      <c r="A330" s="212"/>
      <c r="B330" s="114" t="s">
        <v>301</v>
      </c>
      <c r="C330" s="84">
        <v>7.3</v>
      </c>
      <c r="D330" s="65">
        <v>28</v>
      </c>
      <c r="E330" s="193"/>
      <c r="F330" s="66">
        <f t="shared" ref="F330:F338" si="13">D330*100000/C330</f>
        <v>383561.64383561647</v>
      </c>
      <c r="G330" s="193"/>
      <c r="H330" s="196"/>
    </row>
    <row r="331" spans="1:16" x14ac:dyDescent="0.25">
      <c r="A331" s="212"/>
      <c r="B331" s="114" t="s">
        <v>302</v>
      </c>
      <c r="C331" s="84">
        <v>4.1500000000000004</v>
      </c>
      <c r="D331" s="65">
        <v>27</v>
      </c>
      <c r="E331" s="193"/>
      <c r="F331" s="66">
        <f t="shared" si="13"/>
        <v>650602.40963855421</v>
      </c>
      <c r="G331" s="193"/>
      <c r="H331" s="196"/>
    </row>
    <row r="332" spans="1:16" x14ac:dyDescent="0.25">
      <c r="A332" s="212"/>
      <c r="B332" s="114" t="s">
        <v>303</v>
      </c>
      <c r="C332" s="84">
        <v>4.9000000000000004</v>
      </c>
      <c r="D332" s="65">
        <v>1.5</v>
      </c>
      <c r="E332" s="193"/>
      <c r="F332" s="66">
        <f t="shared" si="13"/>
        <v>30612.244897959183</v>
      </c>
      <c r="G332" s="193"/>
      <c r="H332" s="196"/>
    </row>
    <row r="333" spans="1:16" x14ac:dyDescent="0.25">
      <c r="A333" s="212"/>
      <c r="B333" s="114" t="s">
        <v>304</v>
      </c>
      <c r="C333" s="84">
        <v>1.55</v>
      </c>
      <c r="D333" s="65">
        <v>3</v>
      </c>
      <c r="E333" s="193"/>
      <c r="F333" s="66">
        <f t="shared" si="13"/>
        <v>193548.38709677418</v>
      </c>
      <c r="G333" s="193"/>
      <c r="H333" s="196"/>
    </row>
    <row r="334" spans="1:16" x14ac:dyDescent="0.25">
      <c r="A334" s="212"/>
      <c r="B334" s="114" t="s">
        <v>305</v>
      </c>
      <c r="C334" s="84">
        <v>2.65</v>
      </c>
      <c r="D334" s="65">
        <v>1.5</v>
      </c>
      <c r="E334" s="193"/>
      <c r="F334" s="66">
        <f t="shared" si="13"/>
        <v>56603.773584905663</v>
      </c>
      <c r="G334" s="193"/>
      <c r="H334" s="196"/>
    </row>
    <row r="335" spans="1:16" x14ac:dyDescent="0.25">
      <c r="A335" s="212"/>
      <c r="B335" s="114" t="s">
        <v>306</v>
      </c>
      <c r="C335" s="84">
        <v>128.1</v>
      </c>
      <c r="D335" s="65">
        <v>58</v>
      </c>
      <c r="E335" s="193"/>
      <c r="F335" s="66">
        <f t="shared" si="13"/>
        <v>45277.127244340358</v>
      </c>
      <c r="G335" s="193"/>
      <c r="H335" s="196"/>
    </row>
    <row r="336" spans="1:16" x14ac:dyDescent="0.25">
      <c r="A336" s="212"/>
      <c r="B336" s="114" t="s">
        <v>307</v>
      </c>
      <c r="C336" s="84">
        <v>5.7</v>
      </c>
      <c r="D336" s="65">
        <v>12</v>
      </c>
      <c r="E336" s="193"/>
      <c r="F336" s="66">
        <f t="shared" si="13"/>
        <v>210526.31578947368</v>
      </c>
      <c r="G336" s="193"/>
      <c r="H336" s="196"/>
    </row>
    <row r="337" spans="1:8" x14ac:dyDescent="0.25">
      <c r="A337" s="212"/>
      <c r="B337" s="114" t="s">
        <v>308</v>
      </c>
      <c r="C337" s="84">
        <v>24.4</v>
      </c>
      <c r="D337" s="65">
        <v>0</v>
      </c>
      <c r="E337" s="193"/>
      <c r="F337" s="66">
        <f t="shared" si="13"/>
        <v>0</v>
      </c>
      <c r="G337" s="193"/>
      <c r="H337" s="196"/>
    </row>
    <row r="338" spans="1:8" x14ac:dyDescent="0.25">
      <c r="A338" s="212"/>
      <c r="B338" s="114" t="s">
        <v>309</v>
      </c>
      <c r="C338" s="84">
        <v>58.95</v>
      </c>
      <c r="D338" s="65">
        <v>3</v>
      </c>
      <c r="E338" s="193"/>
      <c r="F338" s="66">
        <f t="shared" si="13"/>
        <v>5089.0585241730278</v>
      </c>
      <c r="G338" s="193"/>
      <c r="H338" s="196"/>
    </row>
    <row r="339" spans="1:8" x14ac:dyDescent="0.25">
      <c r="A339" s="211"/>
      <c r="B339" s="115" t="s">
        <v>310</v>
      </c>
      <c r="C339" s="126"/>
      <c r="D339" s="68">
        <v>418</v>
      </c>
      <c r="E339" s="194"/>
      <c r="F339" s="69"/>
      <c r="G339" s="194"/>
      <c r="H339" s="197"/>
    </row>
    <row r="340" spans="1:8" x14ac:dyDescent="0.25">
      <c r="A340" s="128"/>
      <c r="B340" s="114"/>
      <c r="C340" s="65"/>
      <c r="D340" s="64"/>
      <c r="E340" s="129"/>
      <c r="F340" s="66"/>
      <c r="G340" s="83"/>
      <c r="H340" s="84"/>
    </row>
    <row r="343" spans="1:8" x14ac:dyDescent="0.25">
      <c r="D343" s="95"/>
      <c r="E343" s="75"/>
      <c r="F343" s="75"/>
      <c r="G343" s="95"/>
    </row>
    <row r="344" spans="1:8" x14ac:dyDescent="0.25">
      <c r="A344" s="105"/>
      <c r="B344" s="105"/>
      <c r="C344" s="203" t="s">
        <v>238</v>
      </c>
      <c r="D344" s="203"/>
      <c r="E344" s="203"/>
      <c r="F344" s="204" t="s">
        <v>263</v>
      </c>
      <c r="G344" s="204"/>
      <c r="H344" s="198" t="s">
        <v>361</v>
      </c>
    </row>
    <row r="345" spans="1:8" x14ac:dyDescent="0.25">
      <c r="A345" s="105"/>
      <c r="B345" s="105"/>
      <c r="C345" s="199" t="s">
        <v>359</v>
      </c>
      <c r="D345" s="201" t="s">
        <v>360</v>
      </c>
      <c r="E345" s="201" t="s">
        <v>365</v>
      </c>
      <c r="F345" s="143" t="s">
        <v>362</v>
      </c>
      <c r="G345" s="143" t="s">
        <v>363</v>
      </c>
      <c r="H345" s="198"/>
    </row>
    <row r="346" spans="1:8" x14ac:dyDescent="0.25">
      <c r="A346" s="107" t="s">
        <v>353</v>
      </c>
      <c r="B346" s="107"/>
      <c r="C346" s="200"/>
      <c r="D346" s="202"/>
      <c r="E346" s="202"/>
      <c r="F346" s="143" t="s">
        <v>366</v>
      </c>
      <c r="G346" s="143" t="s">
        <v>367</v>
      </c>
      <c r="H346" s="106" t="s">
        <v>368</v>
      </c>
    </row>
    <row r="347" spans="1:8" x14ac:dyDescent="0.25">
      <c r="A347" s="207" t="s">
        <v>233</v>
      </c>
      <c r="B347" s="61" t="s">
        <v>264</v>
      </c>
      <c r="C347" s="62">
        <v>10.4</v>
      </c>
      <c r="D347" s="63">
        <v>72</v>
      </c>
      <c r="E347" s="192">
        <f>SUM(D347:D348)</f>
        <v>75</v>
      </c>
      <c r="F347" s="63">
        <f>D347*100000/C347</f>
        <v>692307.69230769225</v>
      </c>
      <c r="G347" s="192">
        <f>SUM(F347:F348)</f>
        <v>701892.35684443347</v>
      </c>
      <c r="H347" s="195">
        <f>E347*100000/G347</f>
        <v>10.685399159663866</v>
      </c>
    </row>
    <row r="348" spans="1:8" x14ac:dyDescent="0.25">
      <c r="A348" s="208"/>
      <c r="B348" s="67" t="s">
        <v>265</v>
      </c>
      <c r="C348" s="68">
        <v>31.3</v>
      </c>
      <c r="D348" s="69">
        <v>3</v>
      </c>
      <c r="E348" s="194"/>
      <c r="F348" s="69">
        <f t="shared" ref="F348:F361" si="14">D348*100000/C348</f>
        <v>9584.6645367412129</v>
      </c>
      <c r="G348" s="194"/>
      <c r="H348" s="197"/>
    </row>
    <row r="349" spans="1:8" x14ac:dyDescent="0.25">
      <c r="A349" s="207" t="s">
        <v>234</v>
      </c>
      <c r="B349" s="61" t="s">
        <v>266</v>
      </c>
      <c r="C349" s="62">
        <v>27.3</v>
      </c>
      <c r="D349" s="63">
        <v>129</v>
      </c>
      <c r="E349" s="192">
        <f>SUM(D349:D352)</f>
        <v>353</v>
      </c>
      <c r="F349" s="63">
        <f t="shared" si="14"/>
        <v>472527.47252747254</v>
      </c>
      <c r="G349" s="192">
        <f>SUM(F349:F352)</f>
        <v>3199709.0763010574</v>
      </c>
      <c r="H349" s="195">
        <f>E349*100000/G349</f>
        <v>11.032252982451665</v>
      </c>
    </row>
    <row r="350" spans="1:8" x14ac:dyDescent="0.25">
      <c r="A350" s="209"/>
      <c r="B350" s="64" t="s">
        <v>267</v>
      </c>
      <c r="C350" s="65">
        <v>6.4</v>
      </c>
      <c r="D350" s="66">
        <v>117</v>
      </c>
      <c r="E350" s="193"/>
      <c r="F350" s="66">
        <f t="shared" si="14"/>
        <v>1828125</v>
      </c>
      <c r="G350" s="193"/>
      <c r="H350" s="196"/>
    </row>
    <row r="351" spans="1:8" x14ac:dyDescent="0.25">
      <c r="A351" s="209"/>
      <c r="B351" s="64" t="s">
        <v>268</v>
      </c>
      <c r="C351" s="65">
        <v>6</v>
      </c>
      <c r="D351" s="66">
        <v>33</v>
      </c>
      <c r="E351" s="193"/>
      <c r="F351" s="66">
        <f t="shared" si="14"/>
        <v>550000</v>
      </c>
      <c r="G351" s="193"/>
      <c r="H351" s="196"/>
    </row>
    <row r="352" spans="1:8" x14ac:dyDescent="0.25">
      <c r="A352" s="208"/>
      <c r="B352" s="67" t="s">
        <v>269</v>
      </c>
      <c r="C352" s="68">
        <v>21.2</v>
      </c>
      <c r="D352" s="69">
        <v>74</v>
      </c>
      <c r="E352" s="194"/>
      <c r="F352" s="69">
        <f t="shared" si="14"/>
        <v>349056.60377358494</v>
      </c>
      <c r="G352" s="194"/>
      <c r="H352" s="197"/>
    </row>
    <row r="353" spans="1:21" x14ac:dyDescent="0.25">
      <c r="A353" s="207" t="s">
        <v>235</v>
      </c>
      <c r="B353" s="61" t="s">
        <v>270</v>
      </c>
      <c r="C353" s="62">
        <v>3.9</v>
      </c>
      <c r="D353" s="63">
        <v>32</v>
      </c>
      <c r="E353" s="192">
        <f>SUM(D353:D361)</f>
        <v>152</v>
      </c>
      <c r="F353" s="63">
        <f t="shared" si="14"/>
        <v>820512.8205128205</v>
      </c>
      <c r="G353" s="192">
        <f>SUM(F353:F361)</f>
        <v>6450509.1696167216</v>
      </c>
      <c r="H353" s="195">
        <f>E353*100000/G353</f>
        <v>2.3564031304063953</v>
      </c>
    </row>
    <row r="354" spans="1:21" x14ac:dyDescent="0.25">
      <c r="A354" s="209"/>
      <c r="B354" s="64" t="s">
        <v>271</v>
      </c>
      <c r="C354" s="65">
        <v>2.2999999999999998</v>
      </c>
      <c r="D354" s="66">
        <v>2</v>
      </c>
      <c r="E354" s="193"/>
      <c r="F354" s="66">
        <f t="shared" si="14"/>
        <v>86956.521739130447</v>
      </c>
      <c r="G354" s="193"/>
      <c r="H354" s="196"/>
    </row>
    <row r="355" spans="1:21" x14ac:dyDescent="0.25">
      <c r="A355" s="209"/>
      <c r="B355" s="64" t="s">
        <v>272</v>
      </c>
      <c r="C355" s="65">
        <v>5.7</v>
      </c>
      <c r="D355" s="66">
        <v>51</v>
      </c>
      <c r="E355" s="193"/>
      <c r="F355" s="66">
        <f t="shared" si="14"/>
        <v>894736.84210526315</v>
      </c>
      <c r="G355" s="193"/>
      <c r="H355" s="196"/>
    </row>
    <row r="356" spans="1:21" x14ac:dyDescent="0.25">
      <c r="A356" s="209"/>
      <c r="B356" s="64" t="s">
        <v>273</v>
      </c>
      <c r="C356" s="65">
        <v>2.2999999999999998</v>
      </c>
      <c r="D356" s="66">
        <v>5</v>
      </c>
      <c r="E356" s="193"/>
      <c r="F356" s="66">
        <f t="shared" si="14"/>
        <v>217391.30434782611</v>
      </c>
      <c r="G356" s="193"/>
      <c r="H356" s="196"/>
    </row>
    <row r="357" spans="1:21" x14ac:dyDescent="0.25">
      <c r="A357" s="209"/>
      <c r="B357" s="64" t="s">
        <v>274</v>
      </c>
      <c r="C357" s="65">
        <v>2.7</v>
      </c>
      <c r="D357" s="66">
        <v>17</v>
      </c>
      <c r="E357" s="193"/>
      <c r="F357" s="66">
        <f t="shared" si="14"/>
        <v>629629.62962962955</v>
      </c>
      <c r="G357" s="193"/>
      <c r="H357" s="196"/>
    </row>
    <row r="358" spans="1:21" x14ac:dyDescent="0.25">
      <c r="A358" s="209"/>
      <c r="B358" s="64" t="s">
        <v>275</v>
      </c>
      <c r="C358" s="65">
        <v>1.3</v>
      </c>
      <c r="D358" s="66">
        <v>16</v>
      </c>
      <c r="E358" s="193"/>
      <c r="F358" s="66">
        <f t="shared" si="14"/>
        <v>1230769.2307692308</v>
      </c>
      <c r="G358" s="193"/>
      <c r="H358" s="196"/>
    </row>
    <row r="359" spans="1:21" x14ac:dyDescent="0.25">
      <c r="A359" s="209"/>
      <c r="B359" s="64" t="s">
        <v>276</v>
      </c>
      <c r="C359" s="65">
        <v>0.6</v>
      </c>
      <c r="D359" s="66">
        <v>7</v>
      </c>
      <c r="E359" s="193"/>
      <c r="F359" s="66">
        <f t="shared" si="14"/>
        <v>1166666.6666666667</v>
      </c>
      <c r="G359" s="193"/>
      <c r="H359" s="196"/>
    </row>
    <row r="360" spans="1:21" x14ac:dyDescent="0.25">
      <c r="A360" s="209"/>
      <c r="B360" s="64" t="s">
        <v>277</v>
      </c>
      <c r="C360" s="65">
        <v>1.3</v>
      </c>
      <c r="D360" s="66">
        <v>15</v>
      </c>
      <c r="E360" s="193"/>
      <c r="F360" s="66">
        <f t="shared" si="14"/>
        <v>1153846.1538461538</v>
      </c>
      <c r="G360" s="193"/>
      <c r="H360" s="196"/>
    </row>
    <row r="361" spans="1:21" x14ac:dyDescent="0.25">
      <c r="A361" s="208"/>
      <c r="B361" s="67" t="s">
        <v>278</v>
      </c>
      <c r="C361" s="68">
        <v>2.8</v>
      </c>
      <c r="D361" s="69">
        <v>7</v>
      </c>
      <c r="E361" s="194"/>
      <c r="F361" s="69">
        <f t="shared" si="14"/>
        <v>250000.00000000003</v>
      </c>
      <c r="G361" s="194"/>
      <c r="H361" s="197"/>
    </row>
    <row r="362" spans="1:21" x14ac:dyDescent="0.25">
      <c r="G362" s="52"/>
    </row>
    <row r="364" spans="1:21" x14ac:dyDescent="0.25">
      <c r="A364" s="104" t="s">
        <v>262</v>
      </c>
      <c r="B364" s="44"/>
      <c r="C364" s="45"/>
      <c r="D364" s="44"/>
      <c r="E364" s="46"/>
      <c r="F364" s="47"/>
      <c r="G364" s="48"/>
      <c r="H364" s="49"/>
      <c r="I364" s="44"/>
      <c r="J364" s="44"/>
      <c r="K364" s="45"/>
      <c r="L364" s="45"/>
      <c r="M364" s="45"/>
      <c r="N364" s="45"/>
      <c r="O364" s="45"/>
      <c r="P364" s="45"/>
      <c r="Q364" s="44"/>
      <c r="R364" s="44"/>
      <c r="S364" s="44"/>
      <c r="T364" s="44"/>
      <c r="U364" s="44"/>
    </row>
    <row r="365" spans="1:21" x14ac:dyDescent="0.25">
      <c r="C365" s="50"/>
      <c r="E365" s="51"/>
      <c r="F365" s="52"/>
      <c r="G365" s="53"/>
      <c r="H365" s="54"/>
      <c r="K365" s="50"/>
      <c r="L365" s="50"/>
      <c r="M365" s="50"/>
      <c r="N365" s="50"/>
      <c r="O365" s="50"/>
      <c r="P365" s="50"/>
    </row>
    <row r="366" spans="1:21" x14ac:dyDescent="0.25">
      <c r="A366" s="105"/>
      <c r="B366" s="105"/>
      <c r="C366" s="203" t="s">
        <v>238</v>
      </c>
      <c r="D366" s="203"/>
      <c r="E366" s="203"/>
      <c r="F366" s="204" t="s">
        <v>263</v>
      </c>
      <c r="G366" s="204"/>
      <c r="H366" s="198" t="s">
        <v>361</v>
      </c>
      <c r="K366" s="50"/>
      <c r="L366" s="50"/>
      <c r="M366" s="50"/>
      <c r="N366" s="50"/>
      <c r="O366" s="50"/>
      <c r="P366" s="50"/>
    </row>
    <row r="367" spans="1:21" x14ac:dyDescent="0.25">
      <c r="A367" s="105"/>
      <c r="B367" s="105"/>
      <c r="C367" s="199" t="s">
        <v>359</v>
      </c>
      <c r="D367" s="201" t="s">
        <v>360</v>
      </c>
      <c r="E367" s="201" t="s">
        <v>365</v>
      </c>
      <c r="F367" s="143" t="s">
        <v>362</v>
      </c>
      <c r="G367" s="143" t="s">
        <v>363</v>
      </c>
      <c r="H367" s="198"/>
      <c r="K367" s="50"/>
      <c r="L367" s="50"/>
      <c r="M367" s="50"/>
      <c r="N367" s="50"/>
      <c r="O367" s="50"/>
      <c r="P367" s="50"/>
    </row>
    <row r="368" spans="1:21" x14ac:dyDescent="0.25">
      <c r="A368" s="107" t="s">
        <v>328</v>
      </c>
      <c r="B368" s="107"/>
      <c r="C368" s="200"/>
      <c r="D368" s="202"/>
      <c r="E368" s="202"/>
      <c r="F368" s="143" t="s">
        <v>366</v>
      </c>
      <c r="G368" s="143" t="s">
        <v>367</v>
      </c>
      <c r="H368" s="106" t="s">
        <v>368</v>
      </c>
      <c r="J368" s="222" t="s">
        <v>374</v>
      </c>
      <c r="K368" s="222"/>
      <c r="L368" s="222"/>
      <c r="M368" s="222"/>
      <c r="N368" s="222"/>
      <c r="O368" s="222"/>
      <c r="P368" s="222"/>
    </row>
    <row r="369" spans="1:16" x14ac:dyDescent="0.25">
      <c r="A369" s="210" t="s">
        <v>233</v>
      </c>
      <c r="B369" s="113" t="s">
        <v>264</v>
      </c>
      <c r="C369" s="62">
        <v>9.6</v>
      </c>
      <c r="D369" s="63">
        <v>37</v>
      </c>
      <c r="E369" s="192">
        <f>SUM(D369:D370)</f>
        <v>44</v>
      </c>
      <c r="F369" s="63">
        <f>D369*100000/C369</f>
        <v>385416.66666666669</v>
      </c>
      <c r="G369" s="227">
        <f>SUM(F369:F370)</f>
        <v>450837.22741433023</v>
      </c>
      <c r="H369" s="195">
        <f>E369*100000/G369</f>
        <v>9.7596199524940612</v>
      </c>
      <c r="K369" s="50" t="s">
        <v>377</v>
      </c>
      <c r="L369" s="108"/>
      <c r="M369" s="108"/>
      <c r="N369" s="50"/>
      <c r="O369" s="50"/>
      <c r="P369" s="50"/>
    </row>
    <row r="370" spans="1:16" x14ac:dyDescent="0.25">
      <c r="A370" s="211"/>
      <c r="B370" s="115" t="s">
        <v>265</v>
      </c>
      <c r="C370" s="68">
        <v>10.7</v>
      </c>
      <c r="D370" s="69">
        <v>7</v>
      </c>
      <c r="E370" s="194"/>
      <c r="F370" s="69">
        <f>D370*100000/C370</f>
        <v>65420.560747663556</v>
      </c>
      <c r="G370" s="229"/>
      <c r="H370" s="197"/>
      <c r="J370" s="42" t="s">
        <v>233</v>
      </c>
      <c r="K370" s="50">
        <f>(H369+H392+H415+H441+H463+H507)/6</f>
        <v>7.7795967550049525</v>
      </c>
      <c r="L370" s="77"/>
      <c r="M370" s="108"/>
      <c r="N370" s="50"/>
      <c r="O370" s="77"/>
      <c r="P370" s="50"/>
    </row>
    <row r="371" spans="1:16" x14ac:dyDescent="0.25">
      <c r="A371" s="210" t="s">
        <v>234</v>
      </c>
      <c r="B371" s="113" t="s">
        <v>266</v>
      </c>
      <c r="C371" s="62">
        <v>3.3</v>
      </c>
      <c r="D371" s="63">
        <v>5</v>
      </c>
      <c r="E371" s="192">
        <f>SUM(D371:D374)</f>
        <v>69</v>
      </c>
      <c r="F371" s="63">
        <f t="shared" ref="F371:F383" si="15">D371*100000/C371</f>
        <v>151515.15151515152</v>
      </c>
      <c r="G371" s="192">
        <f>SUM(F371:F374)</f>
        <v>2316596.7365967366</v>
      </c>
      <c r="H371" s="195">
        <f>E371*100000/G371</f>
        <v>2.978507174337405</v>
      </c>
      <c r="J371" s="42" t="s">
        <v>234</v>
      </c>
      <c r="K371" s="50">
        <f>(H371+H394+H416+H443+H465+H490+H509)/7</f>
        <v>3.7966539967629687</v>
      </c>
      <c r="L371" s="77"/>
      <c r="M371" s="108"/>
      <c r="N371" s="50"/>
      <c r="O371" s="77"/>
      <c r="P371" s="50"/>
    </row>
    <row r="372" spans="1:16" x14ac:dyDescent="0.25">
      <c r="A372" s="212"/>
      <c r="B372" s="114" t="s">
        <v>267</v>
      </c>
      <c r="C372" s="65">
        <v>2.2000000000000002</v>
      </c>
      <c r="D372" s="66">
        <v>25</v>
      </c>
      <c r="E372" s="193"/>
      <c r="F372" s="66">
        <f t="shared" si="15"/>
        <v>1136363.6363636362</v>
      </c>
      <c r="G372" s="193"/>
      <c r="H372" s="196"/>
      <c r="J372" s="42" t="s">
        <v>235</v>
      </c>
      <c r="K372" s="50">
        <f>(H375+H398+H421+H447+H469+H493+H512)/7</f>
        <v>1.5139316365115925</v>
      </c>
      <c r="L372" s="77"/>
      <c r="M372" s="50"/>
      <c r="N372" s="50"/>
      <c r="O372" s="77"/>
      <c r="P372" s="50"/>
    </row>
    <row r="373" spans="1:16" x14ac:dyDescent="0.25">
      <c r="A373" s="212"/>
      <c r="B373" s="114" t="s">
        <v>268</v>
      </c>
      <c r="C373" s="65">
        <v>2.5</v>
      </c>
      <c r="D373" s="66">
        <v>2</v>
      </c>
      <c r="E373" s="193"/>
      <c r="F373" s="66">
        <f t="shared" si="15"/>
        <v>80000</v>
      </c>
      <c r="G373" s="193"/>
      <c r="H373" s="196"/>
      <c r="K373" s="50"/>
      <c r="L373" s="50"/>
      <c r="M373" s="50"/>
      <c r="N373" s="50"/>
      <c r="O373" s="50"/>
      <c r="P373" s="50"/>
    </row>
    <row r="374" spans="1:16" ht="15" customHeight="1" x14ac:dyDescent="0.25">
      <c r="A374" s="211"/>
      <c r="B374" s="115" t="s">
        <v>269</v>
      </c>
      <c r="C374" s="68">
        <v>3.9</v>
      </c>
      <c r="D374" s="69">
        <v>37</v>
      </c>
      <c r="E374" s="194"/>
      <c r="F374" s="69">
        <f t="shared" si="15"/>
        <v>948717.94871794875</v>
      </c>
      <c r="G374" s="194"/>
      <c r="H374" s="197"/>
      <c r="J374" s="230" t="s">
        <v>356</v>
      </c>
      <c r="K374" s="231"/>
      <c r="L374" s="231"/>
      <c r="M374" s="231"/>
      <c r="N374" s="231"/>
      <c r="O374" s="231"/>
      <c r="P374" s="232"/>
    </row>
    <row r="375" spans="1:16" x14ac:dyDescent="0.25">
      <c r="A375" s="210" t="s">
        <v>235</v>
      </c>
      <c r="B375" s="113" t="s">
        <v>270</v>
      </c>
      <c r="C375" s="62">
        <v>0.9</v>
      </c>
      <c r="D375" s="63">
        <v>16</v>
      </c>
      <c r="E375" s="192">
        <f>SUM(D375:D385)</f>
        <v>103</v>
      </c>
      <c r="F375" s="63">
        <f t="shared" si="15"/>
        <v>1777777.7777777778</v>
      </c>
      <c r="G375" s="227">
        <f>SUM(F375:F385)</f>
        <v>8481944.444444444</v>
      </c>
      <c r="H375" s="195">
        <f>E375*100000/G375</f>
        <v>1.2143441951858525</v>
      </c>
      <c r="J375" s="233"/>
      <c r="K375" s="234"/>
      <c r="L375" s="234"/>
      <c r="M375" s="234"/>
      <c r="N375" s="234"/>
      <c r="O375" s="234"/>
      <c r="P375" s="235"/>
    </row>
    <row r="376" spans="1:16" x14ac:dyDescent="0.25">
      <c r="A376" s="212"/>
      <c r="B376" s="114" t="s">
        <v>271</v>
      </c>
      <c r="C376" s="65">
        <v>0.2</v>
      </c>
      <c r="D376" s="66">
        <v>2</v>
      </c>
      <c r="E376" s="193"/>
      <c r="F376" s="66">
        <f t="shared" si="15"/>
        <v>1000000</v>
      </c>
      <c r="G376" s="228"/>
      <c r="H376" s="196"/>
      <c r="J376" s="236"/>
      <c r="K376" s="237"/>
      <c r="L376" s="237"/>
      <c r="M376" s="237"/>
      <c r="N376" s="237"/>
      <c r="O376" s="237"/>
      <c r="P376" s="238"/>
    </row>
    <row r="377" spans="1:16" x14ac:dyDescent="0.25">
      <c r="A377" s="212"/>
      <c r="B377" s="114" t="s">
        <v>272</v>
      </c>
      <c r="C377" s="65">
        <v>8</v>
      </c>
      <c r="D377" s="66">
        <v>51</v>
      </c>
      <c r="E377" s="193"/>
      <c r="F377" s="66">
        <f t="shared" si="15"/>
        <v>637500</v>
      </c>
      <c r="G377" s="228"/>
      <c r="H377" s="196"/>
    </row>
    <row r="378" spans="1:16" x14ac:dyDescent="0.25">
      <c r="A378" s="212"/>
      <c r="B378" s="114" t="s">
        <v>273</v>
      </c>
      <c r="C378" s="65">
        <v>0.4</v>
      </c>
      <c r="D378" s="66">
        <v>2</v>
      </c>
      <c r="E378" s="193"/>
      <c r="F378" s="66">
        <f t="shared" si="15"/>
        <v>500000</v>
      </c>
      <c r="G378" s="228"/>
      <c r="H378" s="196"/>
    </row>
    <row r="379" spans="1:16" x14ac:dyDescent="0.25">
      <c r="A379" s="212"/>
      <c r="B379" s="114" t="s">
        <v>274</v>
      </c>
      <c r="C379" s="65">
        <v>1</v>
      </c>
      <c r="D379" s="66">
        <v>14</v>
      </c>
      <c r="E379" s="193"/>
      <c r="F379" s="66">
        <f t="shared" si="15"/>
        <v>1400000</v>
      </c>
      <c r="G379" s="228"/>
      <c r="H379" s="196"/>
    </row>
    <row r="380" spans="1:16" x14ac:dyDescent="0.25">
      <c r="A380" s="212"/>
      <c r="B380" s="114" t="s">
        <v>275</v>
      </c>
      <c r="C380" s="65">
        <v>0.8</v>
      </c>
      <c r="D380" s="66">
        <v>4</v>
      </c>
      <c r="E380" s="193"/>
      <c r="F380" s="66">
        <f t="shared" si="15"/>
        <v>500000</v>
      </c>
      <c r="G380" s="228"/>
      <c r="H380" s="196"/>
    </row>
    <row r="381" spans="1:16" x14ac:dyDescent="0.25">
      <c r="A381" s="212"/>
      <c r="B381" s="114" t="s">
        <v>276</v>
      </c>
      <c r="C381" s="65">
        <v>0.4</v>
      </c>
      <c r="D381" s="66">
        <v>2</v>
      </c>
      <c r="E381" s="193"/>
      <c r="F381" s="66">
        <f t="shared" si="15"/>
        <v>500000</v>
      </c>
      <c r="G381" s="228"/>
      <c r="H381" s="196"/>
    </row>
    <row r="382" spans="1:16" x14ac:dyDescent="0.25">
      <c r="A382" s="212"/>
      <c r="B382" s="114" t="s">
        <v>277</v>
      </c>
      <c r="C382" s="65">
        <v>0.4</v>
      </c>
      <c r="D382" s="66">
        <v>6</v>
      </c>
      <c r="E382" s="193"/>
      <c r="F382" s="66">
        <f t="shared" si="15"/>
        <v>1500000</v>
      </c>
      <c r="G382" s="228"/>
      <c r="H382" s="196"/>
    </row>
    <row r="383" spans="1:16" x14ac:dyDescent="0.25">
      <c r="A383" s="212"/>
      <c r="B383" s="114" t="s">
        <v>278</v>
      </c>
      <c r="C383" s="65">
        <v>0.9</v>
      </c>
      <c r="D383" s="66">
        <v>6</v>
      </c>
      <c r="E383" s="193"/>
      <c r="F383" s="66">
        <f t="shared" si="15"/>
        <v>666666.66666666663</v>
      </c>
      <c r="G383" s="228"/>
      <c r="H383" s="196"/>
    </row>
    <row r="384" spans="1:16" x14ac:dyDescent="0.25">
      <c r="A384" s="212"/>
      <c r="B384" s="114" t="s">
        <v>279</v>
      </c>
      <c r="C384" s="65">
        <v>0</v>
      </c>
      <c r="D384" s="66">
        <v>0</v>
      </c>
      <c r="E384" s="193"/>
      <c r="F384" s="66"/>
      <c r="G384" s="228"/>
      <c r="H384" s="196"/>
    </row>
    <row r="385" spans="1:16" x14ac:dyDescent="0.25">
      <c r="A385" s="211"/>
      <c r="B385" s="115" t="s">
        <v>280</v>
      </c>
      <c r="C385" s="68">
        <v>0</v>
      </c>
      <c r="D385" s="69">
        <v>0</v>
      </c>
      <c r="E385" s="194"/>
      <c r="F385" s="69"/>
      <c r="G385" s="229"/>
      <c r="H385" s="197"/>
    </row>
    <row r="386" spans="1:16" x14ac:dyDescent="0.25">
      <c r="A386" s="123"/>
      <c r="B386" s="109"/>
      <c r="C386" s="50"/>
      <c r="E386" s="51"/>
      <c r="F386" s="52"/>
      <c r="G386" s="163"/>
      <c r="H386" s="54"/>
    </row>
    <row r="387" spans="1:16" x14ac:dyDescent="0.25">
      <c r="A387" s="123"/>
      <c r="B387" s="109"/>
      <c r="C387" s="50"/>
      <c r="E387" s="51"/>
      <c r="F387" s="52"/>
      <c r="G387" s="53"/>
      <c r="H387" s="54"/>
    </row>
    <row r="388" spans="1:16" x14ac:dyDescent="0.25">
      <c r="C388" s="50"/>
      <c r="E388" s="51"/>
      <c r="F388" s="52"/>
      <c r="G388" s="53"/>
      <c r="H388" s="54"/>
      <c r="K388" s="50"/>
      <c r="L388" s="50"/>
      <c r="M388" s="50"/>
      <c r="N388" s="50"/>
      <c r="O388" s="50"/>
      <c r="P388" s="50"/>
    </row>
    <row r="389" spans="1:16" x14ac:dyDescent="0.25">
      <c r="A389" s="105"/>
      <c r="B389" s="105"/>
      <c r="C389" s="203" t="s">
        <v>238</v>
      </c>
      <c r="D389" s="203"/>
      <c r="E389" s="203"/>
      <c r="F389" s="204" t="s">
        <v>263</v>
      </c>
      <c r="G389" s="204"/>
      <c r="H389" s="198" t="s">
        <v>361</v>
      </c>
      <c r="K389" s="50"/>
      <c r="L389" s="50"/>
      <c r="M389" s="50"/>
      <c r="N389" s="50"/>
      <c r="O389" s="50"/>
      <c r="P389" s="50"/>
    </row>
    <row r="390" spans="1:16" x14ac:dyDescent="0.25">
      <c r="A390" s="105"/>
      <c r="B390" s="105"/>
      <c r="C390" s="199" t="s">
        <v>359</v>
      </c>
      <c r="D390" s="201" t="s">
        <v>360</v>
      </c>
      <c r="E390" s="201" t="s">
        <v>365</v>
      </c>
      <c r="F390" s="143" t="s">
        <v>362</v>
      </c>
      <c r="G390" s="143" t="s">
        <v>363</v>
      </c>
      <c r="H390" s="198"/>
      <c r="K390" s="50"/>
      <c r="L390" s="50"/>
      <c r="M390" s="50"/>
      <c r="N390" s="50"/>
      <c r="O390" s="50"/>
      <c r="P390" s="50"/>
    </row>
    <row r="391" spans="1:16" x14ac:dyDescent="0.25">
      <c r="A391" s="107" t="s">
        <v>327</v>
      </c>
      <c r="B391" s="107"/>
      <c r="C391" s="200"/>
      <c r="D391" s="202"/>
      <c r="E391" s="202"/>
      <c r="F391" s="143" t="s">
        <v>366</v>
      </c>
      <c r="G391" s="143" t="s">
        <v>367</v>
      </c>
      <c r="H391" s="106" t="s">
        <v>368</v>
      </c>
    </row>
    <row r="392" spans="1:16" x14ac:dyDescent="0.25">
      <c r="A392" s="210" t="s">
        <v>233</v>
      </c>
      <c r="B392" s="113" t="s">
        <v>264</v>
      </c>
      <c r="C392" s="62">
        <v>5.2</v>
      </c>
      <c r="D392" s="63">
        <v>18</v>
      </c>
      <c r="E392" s="192">
        <f>SUM(D392:D393)</f>
        <v>24</v>
      </c>
      <c r="F392" s="63">
        <f>D392*100000/C392</f>
        <v>346153.84615384613</v>
      </c>
      <c r="G392" s="192">
        <f>SUM(F392:F393)</f>
        <v>370153.84615384613</v>
      </c>
      <c r="H392" s="195">
        <f>E392*100000/G392</f>
        <v>6.4837905236907734</v>
      </c>
    </row>
    <row r="393" spans="1:16" x14ac:dyDescent="0.25">
      <c r="A393" s="211"/>
      <c r="B393" s="115" t="s">
        <v>265</v>
      </c>
      <c r="C393" s="68">
        <v>25</v>
      </c>
      <c r="D393" s="69">
        <v>6</v>
      </c>
      <c r="E393" s="194"/>
      <c r="F393" s="69">
        <f t="shared" ref="F393:F405" si="16">D393*100000/C393</f>
        <v>24000</v>
      </c>
      <c r="G393" s="194"/>
      <c r="H393" s="197"/>
    </row>
    <row r="394" spans="1:16" x14ac:dyDescent="0.25">
      <c r="A394" s="210" t="s">
        <v>234</v>
      </c>
      <c r="B394" s="113" t="s">
        <v>266</v>
      </c>
      <c r="C394" s="62">
        <v>9.3000000000000007</v>
      </c>
      <c r="D394" s="63">
        <v>24</v>
      </c>
      <c r="E394" s="192">
        <f>SUM(D394:D397)</f>
        <v>162</v>
      </c>
      <c r="F394" s="63">
        <f t="shared" si="16"/>
        <v>258064.51612903224</v>
      </c>
      <c r="G394" s="192">
        <f>SUM(F394:F397)</f>
        <v>3383919.047130622</v>
      </c>
      <c r="H394" s="195">
        <f>E394*100000/G394</f>
        <v>4.7873485666676077</v>
      </c>
    </row>
    <row r="395" spans="1:16" x14ac:dyDescent="0.25">
      <c r="A395" s="212"/>
      <c r="B395" s="114" t="s">
        <v>267</v>
      </c>
      <c r="C395" s="65">
        <v>1.7</v>
      </c>
      <c r="D395" s="66">
        <v>30</v>
      </c>
      <c r="E395" s="193"/>
      <c r="F395" s="66">
        <f t="shared" si="16"/>
        <v>1764705.8823529412</v>
      </c>
      <c r="G395" s="193"/>
      <c r="H395" s="196"/>
    </row>
    <row r="396" spans="1:16" x14ac:dyDescent="0.25">
      <c r="A396" s="212"/>
      <c r="B396" s="114" t="s">
        <v>268</v>
      </c>
      <c r="C396" s="65">
        <v>7.4</v>
      </c>
      <c r="D396" s="66">
        <v>11</v>
      </c>
      <c r="E396" s="193"/>
      <c r="F396" s="66">
        <f t="shared" si="16"/>
        <v>148648.64864864864</v>
      </c>
      <c r="G396" s="193"/>
      <c r="H396" s="196"/>
    </row>
    <row r="397" spans="1:16" x14ac:dyDescent="0.25">
      <c r="A397" s="211"/>
      <c r="B397" s="115" t="s">
        <v>269</v>
      </c>
      <c r="C397" s="68">
        <v>8</v>
      </c>
      <c r="D397" s="69">
        <v>97</v>
      </c>
      <c r="E397" s="194"/>
      <c r="F397" s="69">
        <f t="shared" si="16"/>
        <v>1212500</v>
      </c>
      <c r="G397" s="194"/>
      <c r="H397" s="197"/>
    </row>
    <row r="398" spans="1:16" x14ac:dyDescent="0.25">
      <c r="A398" s="210" t="s">
        <v>235</v>
      </c>
      <c r="B398" s="113" t="s">
        <v>270</v>
      </c>
      <c r="C398" s="62">
        <v>1</v>
      </c>
      <c r="D398" s="63">
        <v>29</v>
      </c>
      <c r="E398" s="192">
        <f>SUM(D398:D408)</f>
        <v>189</v>
      </c>
      <c r="F398" s="63">
        <f t="shared" si="16"/>
        <v>2900000</v>
      </c>
      <c r="G398" s="192">
        <f>SUM(F398:F408)</f>
        <v>11992954.990215264</v>
      </c>
      <c r="H398" s="195">
        <f>E398*100000/G398</f>
        <v>1.5759252007049147</v>
      </c>
    </row>
    <row r="399" spans="1:16" x14ac:dyDescent="0.25">
      <c r="A399" s="212"/>
      <c r="B399" s="114" t="s">
        <v>271</v>
      </c>
      <c r="C399" s="65">
        <v>0.7</v>
      </c>
      <c r="D399" s="66">
        <v>7</v>
      </c>
      <c r="E399" s="193"/>
      <c r="F399" s="66">
        <f t="shared" si="16"/>
        <v>1000000.0000000001</v>
      </c>
      <c r="G399" s="193"/>
      <c r="H399" s="196"/>
      <c r="K399" s="50"/>
      <c r="L399" s="50"/>
      <c r="M399" s="50"/>
      <c r="N399" s="50"/>
      <c r="O399" s="50"/>
      <c r="P399" s="50"/>
    </row>
    <row r="400" spans="1:16" x14ac:dyDescent="0.25">
      <c r="A400" s="212"/>
      <c r="B400" s="114" t="s">
        <v>272</v>
      </c>
      <c r="C400" s="65">
        <v>7.3</v>
      </c>
      <c r="D400" s="66">
        <v>85</v>
      </c>
      <c r="E400" s="193"/>
      <c r="F400" s="66">
        <f t="shared" si="16"/>
        <v>1164383.5616438356</v>
      </c>
      <c r="G400" s="193"/>
      <c r="H400" s="196"/>
    </row>
    <row r="401" spans="1:8" x14ac:dyDescent="0.25">
      <c r="A401" s="212"/>
      <c r="B401" s="114" t="s">
        <v>273</v>
      </c>
      <c r="C401" s="65">
        <v>0</v>
      </c>
      <c r="D401" s="66">
        <v>0</v>
      </c>
      <c r="E401" s="193"/>
      <c r="F401" s="66"/>
      <c r="G401" s="193"/>
      <c r="H401" s="196"/>
    </row>
    <row r="402" spans="1:8" x14ac:dyDescent="0.25">
      <c r="A402" s="212"/>
      <c r="B402" s="114" t="s">
        <v>274</v>
      </c>
      <c r="C402" s="65">
        <v>0.9</v>
      </c>
      <c r="D402" s="66">
        <v>21</v>
      </c>
      <c r="E402" s="193"/>
      <c r="F402" s="66">
        <f>D402*100000/C402</f>
        <v>2333333.3333333335</v>
      </c>
      <c r="G402" s="193"/>
      <c r="H402" s="196"/>
    </row>
    <row r="403" spans="1:8" x14ac:dyDescent="0.25">
      <c r="A403" s="212"/>
      <c r="B403" s="114" t="s">
        <v>275</v>
      </c>
      <c r="C403" s="65">
        <v>2.1</v>
      </c>
      <c r="D403" s="66">
        <v>20</v>
      </c>
      <c r="E403" s="193"/>
      <c r="F403" s="66">
        <f t="shared" si="16"/>
        <v>952380.95238095231</v>
      </c>
      <c r="G403" s="193"/>
      <c r="H403" s="196"/>
    </row>
    <row r="404" spans="1:8" x14ac:dyDescent="0.25">
      <c r="A404" s="212"/>
      <c r="B404" s="114" t="s">
        <v>276</v>
      </c>
      <c r="C404" s="65">
        <v>0.7</v>
      </c>
      <c r="D404" s="66">
        <v>8</v>
      </c>
      <c r="E404" s="193"/>
      <c r="F404" s="66">
        <f t="shared" si="16"/>
        <v>1142857.142857143</v>
      </c>
      <c r="G404" s="193"/>
      <c r="H404" s="196"/>
    </row>
    <row r="405" spans="1:8" x14ac:dyDescent="0.25">
      <c r="A405" s="212"/>
      <c r="B405" s="114" t="s">
        <v>277</v>
      </c>
      <c r="C405" s="65">
        <v>0.2</v>
      </c>
      <c r="D405" s="66">
        <v>5</v>
      </c>
      <c r="E405" s="193"/>
      <c r="F405" s="66">
        <f t="shared" si="16"/>
        <v>2500000</v>
      </c>
      <c r="G405" s="193"/>
      <c r="H405" s="196"/>
    </row>
    <row r="406" spans="1:8" x14ac:dyDescent="0.25">
      <c r="A406" s="212"/>
      <c r="B406" s="114" t="s">
        <v>278</v>
      </c>
      <c r="C406" s="65">
        <v>1.7</v>
      </c>
      <c r="D406" s="66">
        <v>14</v>
      </c>
      <c r="E406" s="193"/>
      <c r="F406" s="66"/>
      <c r="G406" s="193"/>
      <c r="H406" s="196"/>
    </row>
    <row r="407" spans="1:8" x14ac:dyDescent="0.25">
      <c r="A407" s="212"/>
      <c r="B407" s="114" t="s">
        <v>279</v>
      </c>
      <c r="C407" s="65">
        <v>0</v>
      </c>
      <c r="D407" s="66">
        <v>0</v>
      </c>
      <c r="E407" s="193"/>
      <c r="F407" s="66"/>
      <c r="G407" s="193"/>
      <c r="H407" s="196"/>
    </row>
    <row r="408" spans="1:8" x14ac:dyDescent="0.25">
      <c r="A408" s="211"/>
      <c r="B408" s="115" t="s">
        <v>280</v>
      </c>
      <c r="C408" s="68">
        <v>0</v>
      </c>
      <c r="D408" s="69">
        <v>0</v>
      </c>
      <c r="E408" s="194"/>
      <c r="F408" s="69"/>
      <c r="G408" s="194"/>
      <c r="H408" s="197"/>
    </row>
    <row r="409" spans="1:8" x14ac:dyDescent="0.25">
      <c r="A409" s="123"/>
      <c r="B409" s="109" t="s">
        <v>310</v>
      </c>
      <c r="C409" s="50"/>
      <c r="D409" s="92">
        <v>6</v>
      </c>
      <c r="E409" s="51"/>
      <c r="F409" s="52"/>
      <c r="G409" s="53"/>
      <c r="H409" s="54"/>
    </row>
    <row r="410" spans="1:8" x14ac:dyDescent="0.25">
      <c r="A410" s="123"/>
      <c r="B410" s="109"/>
      <c r="C410" s="50"/>
      <c r="E410" s="51"/>
      <c r="F410" s="52"/>
      <c r="G410" s="163"/>
      <c r="H410" s="54"/>
    </row>
    <row r="411" spans="1:8" x14ac:dyDescent="0.25">
      <c r="A411" s="123"/>
      <c r="B411" s="109"/>
      <c r="C411" s="50"/>
      <c r="E411" s="51"/>
      <c r="F411" s="52"/>
      <c r="G411" s="53"/>
      <c r="H411" s="54"/>
    </row>
    <row r="412" spans="1:8" x14ac:dyDescent="0.25">
      <c r="A412" s="105"/>
      <c r="B412" s="105"/>
      <c r="C412" s="203" t="s">
        <v>238</v>
      </c>
      <c r="D412" s="203"/>
      <c r="E412" s="203"/>
      <c r="F412" s="204" t="s">
        <v>263</v>
      </c>
      <c r="G412" s="204"/>
      <c r="H412" s="198" t="s">
        <v>361</v>
      </c>
    </row>
    <row r="413" spans="1:8" x14ac:dyDescent="0.25">
      <c r="A413" s="105"/>
      <c r="B413" s="105"/>
      <c r="C413" s="199" t="s">
        <v>359</v>
      </c>
      <c r="D413" s="201" t="s">
        <v>360</v>
      </c>
      <c r="E413" s="201" t="s">
        <v>365</v>
      </c>
      <c r="F413" s="143" t="s">
        <v>362</v>
      </c>
      <c r="G413" s="143" t="s">
        <v>363</v>
      </c>
      <c r="H413" s="198"/>
    </row>
    <row r="414" spans="1:8" x14ac:dyDescent="0.25">
      <c r="A414" s="107" t="s">
        <v>355</v>
      </c>
      <c r="B414" s="107"/>
      <c r="C414" s="200"/>
      <c r="D414" s="202"/>
      <c r="E414" s="202"/>
      <c r="F414" s="143" t="s">
        <v>366</v>
      </c>
      <c r="G414" s="143" t="s">
        <v>367</v>
      </c>
      <c r="H414" s="106" t="s">
        <v>368</v>
      </c>
    </row>
    <row r="415" spans="1:8" x14ac:dyDescent="0.25">
      <c r="A415" s="120" t="s">
        <v>233</v>
      </c>
      <c r="B415" s="117" t="s">
        <v>290</v>
      </c>
      <c r="C415" s="57">
        <v>6</v>
      </c>
      <c r="D415" s="58">
        <v>1</v>
      </c>
      <c r="E415" s="90">
        <f>D415</f>
        <v>1</v>
      </c>
      <c r="F415" s="58">
        <f>D415*100000/C415</f>
        <v>16666.666666666668</v>
      </c>
      <c r="G415" s="90">
        <f>F415</f>
        <v>16666.666666666668</v>
      </c>
      <c r="H415" s="91">
        <f>E415*100000/G415</f>
        <v>6</v>
      </c>
    </row>
    <row r="416" spans="1:8" x14ac:dyDescent="0.25">
      <c r="A416" s="210" t="s">
        <v>234</v>
      </c>
      <c r="B416" s="113" t="s">
        <v>291</v>
      </c>
      <c r="C416" s="62">
        <v>9</v>
      </c>
      <c r="D416" s="63">
        <v>4</v>
      </c>
      <c r="E416" s="192">
        <f>SUM(D417:D420)</f>
        <v>264</v>
      </c>
      <c r="F416" s="63">
        <f>D416*100000/C416</f>
        <v>44444.444444444445</v>
      </c>
      <c r="G416" s="192">
        <f>SUM(F416:F420)</f>
        <v>7816666.666666666</v>
      </c>
      <c r="H416" s="195">
        <f>E416*100000/G416</f>
        <v>3.3773987206823031</v>
      </c>
    </row>
    <row r="417" spans="1:8" x14ac:dyDescent="0.25">
      <c r="A417" s="212"/>
      <c r="B417" s="114" t="s">
        <v>292</v>
      </c>
      <c r="C417" s="65">
        <v>2</v>
      </c>
      <c r="D417" s="66">
        <v>104</v>
      </c>
      <c r="E417" s="193"/>
      <c r="F417" s="66">
        <f t="shared" ref="F417:F433" si="17">D417*100000/C417</f>
        <v>5200000</v>
      </c>
      <c r="G417" s="193"/>
      <c r="H417" s="196"/>
    </row>
    <row r="418" spans="1:8" x14ac:dyDescent="0.25">
      <c r="A418" s="212"/>
      <c r="B418" s="114" t="s">
        <v>293</v>
      </c>
      <c r="C418" s="65">
        <v>4</v>
      </c>
      <c r="D418" s="66">
        <v>2</v>
      </c>
      <c r="E418" s="193"/>
      <c r="F418" s="66">
        <f t="shared" si="17"/>
        <v>50000</v>
      </c>
      <c r="G418" s="193"/>
      <c r="H418" s="196"/>
    </row>
    <row r="419" spans="1:8" x14ac:dyDescent="0.25">
      <c r="A419" s="212"/>
      <c r="B419" s="114" t="s">
        <v>294</v>
      </c>
      <c r="C419" s="65">
        <v>9</v>
      </c>
      <c r="D419" s="66">
        <v>20</v>
      </c>
      <c r="E419" s="193"/>
      <c r="F419" s="66">
        <f t="shared" si="17"/>
        <v>222222.22222222222</v>
      </c>
      <c r="G419" s="193"/>
      <c r="H419" s="196"/>
    </row>
    <row r="420" spans="1:8" x14ac:dyDescent="0.25">
      <c r="A420" s="211"/>
      <c r="B420" s="115" t="s">
        <v>269</v>
      </c>
      <c r="C420" s="68">
        <v>6</v>
      </c>
      <c r="D420" s="69">
        <v>138</v>
      </c>
      <c r="E420" s="194"/>
      <c r="F420" s="69">
        <f t="shared" si="17"/>
        <v>2300000</v>
      </c>
      <c r="G420" s="194"/>
      <c r="H420" s="197"/>
    </row>
    <row r="421" spans="1:8" x14ac:dyDescent="0.25">
      <c r="A421" s="210" t="s">
        <v>235</v>
      </c>
      <c r="B421" s="113" t="s">
        <v>295</v>
      </c>
      <c r="C421" s="62">
        <v>1</v>
      </c>
      <c r="D421" s="63">
        <v>64</v>
      </c>
      <c r="E421" s="192">
        <f>SUM(D421:D431)</f>
        <v>285</v>
      </c>
      <c r="F421" s="63">
        <f t="shared" si="17"/>
        <v>6400000</v>
      </c>
      <c r="G421" s="192">
        <f>SUM(F421:F434)</f>
        <v>23234316.770186335</v>
      </c>
      <c r="H421" s="195">
        <f>E421*100000/G421</f>
        <v>1.2266338744494718</v>
      </c>
    </row>
    <row r="422" spans="1:8" x14ac:dyDescent="0.25">
      <c r="A422" s="212"/>
      <c r="B422" s="114" t="s">
        <v>296</v>
      </c>
      <c r="C422" s="65">
        <v>5</v>
      </c>
      <c r="D422" s="66">
        <v>90</v>
      </c>
      <c r="E422" s="193"/>
      <c r="F422" s="66">
        <f t="shared" si="17"/>
        <v>1800000</v>
      </c>
      <c r="G422" s="193"/>
      <c r="H422" s="196"/>
    </row>
    <row r="423" spans="1:8" x14ac:dyDescent="0.25">
      <c r="A423" s="212"/>
      <c r="B423" s="114" t="s">
        <v>297</v>
      </c>
      <c r="C423" s="65">
        <v>1</v>
      </c>
      <c r="D423" s="66">
        <v>13</v>
      </c>
      <c r="E423" s="193"/>
      <c r="F423" s="66">
        <f t="shared" si="17"/>
        <v>1300000</v>
      </c>
      <c r="G423" s="193"/>
      <c r="H423" s="196"/>
    </row>
    <row r="424" spans="1:8" x14ac:dyDescent="0.25">
      <c r="A424" s="212"/>
      <c r="B424" s="114" t="s">
        <v>298</v>
      </c>
      <c r="C424" s="65">
        <v>0.4</v>
      </c>
      <c r="D424" s="66">
        <v>5</v>
      </c>
      <c r="E424" s="193"/>
      <c r="F424" s="66">
        <f t="shared" si="17"/>
        <v>1250000</v>
      </c>
      <c r="G424" s="193"/>
      <c r="H424" s="196"/>
    </row>
    <row r="425" spans="1:8" x14ac:dyDescent="0.25">
      <c r="A425" s="212"/>
      <c r="B425" s="114" t="s">
        <v>299</v>
      </c>
      <c r="C425" s="65">
        <v>0.8</v>
      </c>
      <c r="D425" s="66">
        <v>10</v>
      </c>
      <c r="E425" s="193"/>
      <c r="F425" s="66">
        <f t="shared" si="17"/>
        <v>1250000</v>
      </c>
      <c r="G425" s="193"/>
      <c r="H425" s="196"/>
    </row>
    <row r="426" spans="1:8" x14ac:dyDescent="0.25">
      <c r="A426" s="212"/>
      <c r="B426" s="114" t="s">
        <v>300</v>
      </c>
      <c r="C426" s="65">
        <v>1</v>
      </c>
      <c r="D426" s="66">
        <v>4</v>
      </c>
      <c r="E426" s="193"/>
      <c r="F426" s="66">
        <f t="shared" si="17"/>
        <v>400000</v>
      </c>
      <c r="G426" s="193"/>
      <c r="H426" s="196"/>
    </row>
    <row r="427" spans="1:8" x14ac:dyDescent="0.25">
      <c r="A427" s="212"/>
      <c r="B427" s="114" t="s">
        <v>301</v>
      </c>
      <c r="C427" s="65">
        <v>0.7</v>
      </c>
      <c r="D427" s="66">
        <v>13</v>
      </c>
      <c r="E427" s="193"/>
      <c r="F427" s="66">
        <f t="shared" si="17"/>
        <v>1857142.8571428573</v>
      </c>
      <c r="G427" s="193"/>
      <c r="H427" s="196"/>
    </row>
    <row r="428" spans="1:8" x14ac:dyDescent="0.25">
      <c r="A428" s="212"/>
      <c r="B428" s="114" t="s">
        <v>302</v>
      </c>
      <c r="C428" s="65">
        <v>2.2999999999999998</v>
      </c>
      <c r="D428" s="66">
        <v>61</v>
      </c>
      <c r="E428" s="193"/>
      <c r="F428" s="66">
        <f t="shared" si="17"/>
        <v>2652173.9130434785</v>
      </c>
      <c r="G428" s="193"/>
      <c r="H428" s="196"/>
    </row>
    <row r="429" spans="1:8" x14ac:dyDescent="0.25">
      <c r="A429" s="212"/>
      <c r="B429" s="114" t="s">
        <v>303</v>
      </c>
      <c r="C429" s="65">
        <v>0.5</v>
      </c>
      <c r="D429" s="66">
        <v>7</v>
      </c>
      <c r="E429" s="193"/>
      <c r="F429" s="66">
        <f t="shared" si="17"/>
        <v>1400000</v>
      </c>
      <c r="G429" s="193"/>
      <c r="H429" s="196"/>
    </row>
    <row r="430" spans="1:8" x14ac:dyDescent="0.25">
      <c r="A430" s="212"/>
      <c r="B430" s="114" t="s">
        <v>304</v>
      </c>
      <c r="C430" s="65">
        <v>0.8</v>
      </c>
      <c r="D430" s="66">
        <v>6</v>
      </c>
      <c r="E430" s="193"/>
      <c r="F430" s="66">
        <f t="shared" si="17"/>
        <v>750000</v>
      </c>
      <c r="G430" s="193"/>
      <c r="H430" s="196"/>
    </row>
    <row r="431" spans="1:8" x14ac:dyDescent="0.25">
      <c r="A431" s="212"/>
      <c r="B431" s="64" t="s">
        <v>305</v>
      </c>
      <c r="C431" s="65">
        <v>0.4</v>
      </c>
      <c r="D431" s="66">
        <v>12</v>
      </c>
      <c r="E431" s="193"/>
      <c r="F431" s="66">
        <f t="shared" si="17"/>
        <v>3000000</v>
      </c>
      <c r="G431" s="193"/>
      <c r="H431" s="196"/>
    </row>
    <row r="432" spans="1:8" x14ac:dyDescent="0.25">
      <c r="A432" s="212"/>
      <c r="B432" s="64" t="s">
        <v>306</v>
      </c>
      <c r="C432" s="65">
        <v>0.8</v>
      </c>
      <c r="D432" s="66">
        <v>3</v>
      </c>
      <c r="E432" s="193"/>
      <c r="F432" s="66">
        <f t="shared" si="17"/>
        <v>375000</v>
      </c>
      <c r="G432" s="193"/>
      <c r="H432" s="196"/>
    </row>
    <row r="433" spans="1:8" x14ac:dyDescent="0.25">
      <c r="A433" s="212"/>
      <c r="B433" s="64" t="s">
        <v>307</v>
      </c>
      <c r="C433" s="65">
        <v>1</v>
      </c>
      <c r="D433" s="66">
        <v>8</v>
      </c>
      <c r="E433" s="193"/>
      <c r="F433" s="66">
        <f t="shared" si="17"/>
        <v>800000</v>
      </c>
      <c r="G433" s="193"/>
      <c r="H433" s="196"/>
    </row>
    <row r="434" spans="1:8" x14ac:dyDescent="0.25">
      <c r="A434" s="211"/>
      <c r="B434" s="67" t="s">
        <v>309</v>
      </c>
      <c r="C434" s="68">
        <v>0</v>
      </c>
      <c r="D434" s="69">
        <v>0</v>
      </c>
      <c r="E434" s="194"/>
      <c r="F434" s="69"/>
      <c r="G434" s="194"/>
      <c r="H434" s="197"/>
    </row>
    <row r="435" spans="1:8" x14ac:dyDescent="0.25">
      <c r="B435" s="42" t="s">
        <v>310</v>
      </c>
      <c r="C435" s="50">
        <v>1.9</v>
      </c>
      <c r="D435" s="52">
        <v>4</v>
      </c>
      <c r="E435" s="52"/>
      <c r="F435" s="52"/>
      <c r="G435" s="52"/>
    </row>
    <row r="436" spans="1:8" x14ac:dyDescent="0.25">
      <c r="C436" s="50"/>
      <c r="D436" s="52"/>
      <c r="E436" s="52"/>
      <c r="F436" s="52"/>
      <c r="G436" s="95"/>
    </row>
    <row r="437" spans="1:8" x14ac:dyDescent="0.25">
      <c r="C437" s="50"/>
      <c r="D437" s="52"/>
      <c r="E437" s="52"/>
      <c r="F437" s="52"/>
      <c r="G437" s="52"/>
    </row>
    <row r="438" spans="1:8" x14ac:dyDescent="0.25">
      <c r="A438" s="105"/>
      <c r="B438" s="105"/>
      <c r="C438" s="203" t="s">
        <v>238</v>
      </c>
      <c r="D438" s="203"/>
      <c r="E438" s="203"/>
      <c r="F438" s="204" t="s">
        <v>263</v>
      </c>
      <c r="G438" s="204"/>
      <c r="H438" s="198" t="s">
        <v>361</v>
      </c>
    </row>
    <row r="439" spans="1:8" x14ac:dyDescent="0.25">
      <c r="A439" s="105"/>
      <c r="B439" s="105"/>
      <c r="C439" s="199" t="s">
        <v>359</v>
      </c>
      <c r="D439" s="201" t="s">
        <v>360</v>
      </c>
      <c r="E439" s="201" t="s">
        <v>365</v>
      </c>
      <c r="F439" s="143" t="s">
        <v>362</v>
      </c>
      <c r="G439" s="143" t="s">
        <v>363</v>
      </c>
      <c r="H439" s="198"/>
    </row>
    <row r="440" spans="1:8" x14ac:dyDescent="0.25">
      <c r="A440" s="107" t="s">
        <v>329</v>
      </c>
      <c r="B440" s="107"/>
      <c r="C440" s="200"/>
      <c r="D440" s="202"/>
      <c r="E440" s="202"/>
      <c r="F440" s="143" t="s">
        <v>366</v>
      </c>
      <c r="G440" s="143" t="s">
        <v>367</v>
      </c>
      <c r="H440" s="106" t="s">
        <v>368</v>
      </c>
    </row>
    <row r="441" spans="1:8" x14ac:dyDescent="0.25">
      <c r="A441" s="210" t="s">
        <v>233</v>
      </c>
      <c r="B441" s="113" t="s">
        <v>264</v>
      </c>
      <c r="C441" s="62">
        <v>11</v>
      </c>
      <c r="D441" s="63">
        <v>119</v>
      </c>
      <c r="E441" s="192">
        <f>SUM(D441:D442)</f>
        <v>121</v>
      </c>
      <c r="F441" s="63">
        <f t="shared" ref="F441:F449" si="18">D441*100000/C441</f>
        <v>1081818.1818181819</v>
      </c>
      <c r="G441" s="192">
        <f>SUM(F441:F442)</f>
        <v>1104040.4040404041</v>
      </c>
      <c r="H441" s="195">
        <f>E441*100000/G441</f>
        <v>10.959743824336687</v>
      </c>
    </row>
    <row r="442" spans="1:8" x14ac:dyDescent="0.25">
      <c r="A442" s="211"/>
      <c r="B442" s="115" t="s">
        <v>265</v>
      </c>
      <c r="C442" s="68">
        <v>9</v>
      </c>
      <c r="D442" s="69">
        <v>2</v>
      </c>
      <c r="E442" s="194"/>
      <c r="F442" s="69">
        <f t="shared" si="18"/>
        <v>22222.222222222223</v>
      </c>
      <c r="G442" s="194"/>
      <c r="H442" s="197"/>
    </row>
    <row r="443" spans="1:8" x14ac:dyDescent="0.25">
      <c r="A443" s="210" t="s">
        <v>234</v>
      </c>
      <c r="B443" s="113" t="s">
        <v>266</v>
      </c>
      <c r="C443" s="62">
        <v>10</v>
      </c>
      <c r="D443" s="63">
        <v>6</v>
      </c>
      <c r="E443" s="192">
        <f>SUM(D443:D446)</f>
        <v>367</v>
      </c>
      <c r="F443" s="63">
        <f t="shared" si="18"/>
        <v>60000</v>
      </c>
      <c r="G443" s="192">
        <f>SUM(F443:F446)</f>
        <v>7683333.333333334</v>
      </c>
      <c r="H443" s="195">
        <f>E443*100000/G443</f>
        <v>4.7765726681127978</v>
      </c>
    </row>
    <row r="444" spans="1:8" x14ac:dyDescent="0.25">
      <c r="A444" s="212"/>
      <c r="B444" s="114" t="s">
        <v>267</v>
      </c>
      <c r="C444" s="65">
        <v>3</v>
      </c>
      <c r="D444" s="66">
        <v>167</v>
      </c>
      <c r="E444" s="193"/>
      <c r="F444" s="66">
        <f t="shared" si="18"/>
        <v>5566666.666666667</v>
      </c>
      <c r="G444" s="193"/>
      <c r="H444" s="196"/>
    </row>
    <row r="445" spans="1:8" x14ac:dyDescent="0.25">
      <c r="A445" s="212"/>
      <c r="B445" s="114" t="s">
        <v>268</v>
      </c>
      <c r="C445" s="65">
        <v>3</v>
      </c>
      <c r="D445" s="66">
        <v>5</v>
      </c>
      <c r="E445" s="193"/>
      <c r="F445" s="66">
        <f t="shared" si="18"/>
        <v>166666.66666666666</v>
      </c>
      <c r="G445" s="193"/>
      <c r="H445" s="196"/>
    </row>
    <row r="446" spans="1:8" x14ac:dyDescent="0.25">
      <c r="A446" s="211"/>
      <c r="B446" s="115" t="s">
        <v>269</v>
      </c>
      <c r="C446" s="68">
        <v>10</v>
      </c>
      <c r="D446" s="69">
        <v>189</v>
      </c>
      <c r="E446" s="194"/>
      <c r="F446" s="69">
        <f t="shared" si="18"/>
        <v>1890000</v>
      </c>
      <c r="G446" s="194"/>
      <c r="H446" s="197"/>
    </row>
    <row r="447" spans="1:8" x14ac:dyDescent="0.25">
      <c r="A447" s="210" t="s">
        <v>235</v>
      </c>
      <c r="B447" s="113" t="s">
        <v>270</v>
      </c>
      <c r="C447" s="62">
        <v>2</v>
      </c>
      <c r="D447" s="63">
        <v>62</v>
      </c>
      <c r="E447" s="192">
        <f>SUM(D447:D456)</f>
        <v>269</v>
      </c>
      <c r="F447" s="63">
        <f t="shared" si="18"/>
        <v>3100000</v>
      </c>
      <c r="G447" s="192">
        <f>SUM(F447:F456)</f>
        <v>10122222.222222222</v>
      </c>
      <c r="H447" s="195">
        <f>E447*100000/G447</f>
        <v>2.6575192096597147</v>
      </c>
    </row>
    <row r="448" spans="1:8" x14ac:dyDescent="0.25">
      <c r="A448" s="212"/>
      <c r="B448" s="114" t="s">
        <v>271</v>
      </c>
      <c r="C448" s="65">
        <v>1</v>
      </c>
      <c r="D448" s="66">
        <v>8</v>
      </c>
      <c r="E448" s="193"/>
      <c r="F448" s="66">
        <f t="shared" si="18"/>
        <v>800000</v>
      </c>
      <c r="G448" s="193"/>
      <c r="H448" s="196"/>
    </row>
    <row r="449" spans="1:16" x14ac:dyDescent="0.25">
      <c r="A449" s="212"/>
      <c r="B449" s="114" t="s">
        <v>272</v>
      </c>
      <c r="C449" s="65">
        <v>9</v>
      </c>
      <c r="D449" s="66">
        <v>119</v>
      </c>
      <c r="E449" s="193"/>
      <c r="F449" s="66">
        <f t="shared" si="18"/>
        <v>1322222.2222222222</v>
      </c>
      <c r="G449" s="193"/>
      <c r="H449" s="196"/>
    </row>
    <row r="450" spans="1:16" x14ac:dyDescent="0.25">
      <c r="A450" s="212"/>
      <c r="B450" s="114" t="s">
        <v>273</v>
      </c>
      <c r="C450" s="65">
        <v>0</v>
      </c>
      <c r="D450" s="66">
        <v>1</v>
      </c>
      <c r="E450" s="193"/>
      <c r="F450" s="66"/>
      <c r="G450" s="193"/>
      <c r="H450" s="196"/>
    </row>
    <row r="451" spans="1:16" x14ac:dyDescent="0.25">
      <c r="A451" s="212"/>
      <c r="B451" s="114" t="s">
        <v>274</v>
      </c>
      <c r="C451" s="65">
        <v>2</v>
      </c>
      <c r="D451" s="66">
        <v>35</v>
      </c>
      <c r="E451" s="193"/>
      <c r="F451" s="66">
        <f>D451*100000/C451</f>
        <v>1750000</v>
      </c>
      <c r="G451" s="193"/>
      <c r="H451" s="196"/>
    </row>
    <row r="452" spans="1:16" x14ac:dyDescent="0.25">
      <c r="A452" s="212"/>
      <c r="B452" s="114" t="s">
        <v>275</v>
      </c>
      <c r="C452" s="65">
        <v>1</v>
      </c>
      <c r="D452" s="66">
        <v>14</v>
      </c>
      <c r="E452" s="193"/>
      <c r="F452" s="66">
        <f>D452*100000/C452</f>
        <v>1400000</v>
      </c>
      <c r="G452" s="193"/>
      <c r="H452" s="196"/>
    </row>
    <row r="453" spans="1:16" x14ac:dyDescent="0.25">
      <c r="A453" s="212"/>
      <c r="B453" s="114" t="s">
        <v>276</v>
      </c>
      <c r="C453" s="65"/>
      <c r="D453" s="66">
        <v>0</v>
      </c>
      <c r="E453" s="193"/>
      <c r="F453" s="66"/>
      <c r="G453" s="193"/>
      <c r="H453" s="196"/>
    </row>
    <row r="454" spans="1:16" x14ac:dyDescent="0.25">
      <c r="A454" s="212"/>
      <c r="B454" s="114" t="s">
        <v>277</v>
      </c>
      <c r="C454" s="65">
        <v>1</v>
      </c>
      <c r="D454" s="66">
        <v>7</v>
      </c>
      <c r="E454" s="193"/>
      <c r="F454" s="66">
        <f>D454*100000/C454</f>
        <v>700000</v>
      </c>
      <c r="G454" s="193"/>
      <c r="H454" s="196"/>
    </row>
    <row r="455" spans="1:16" x14ac:dyDescent="0.25">
      <c r="A455" s="212"/>
      <c r="B455" s="114" t="s">
        <v>278</v>
      </c>
      <c r="C455" s="65">
        <v>2</v>
      </c>
      <c r="D455" s="66">
        <v>21</v>
      </c>
      <c r="E455" s="193"/>
      <c r="F455" s="66">
        <f>D455*100000/C455</f>
        <v>1050000</v>
      </c>
      <c r="G455" s="193"/>
      <c r="H455" s="196"/>
    </row>
    <row r="456" spans="1:16" x14ac:dyDescent="0.25">
      <c r="A456" s="211"/>
      <c r="B456" s="115" t="s">
        <v>279</v>
      </c>
      <c r="C456" s="68"/>
      <c r="D456" s="69">
        <v>2</v>
      </c>
      <c r="E456" s="194"/>
      <c r="F456" s="69"/>
      <c r="G456" s="194"/>
      <c r="H456" s="197"/>
    </row>
    <row r="457" spans="1:16" x14ac:dyDescent="0.25">
      <c r="A457" s="123"/>
      <c r="B457" s="109" t="s">
        <v>310</v>
      </c>
      <c r="C457" s="50"/>
      <c r="D457" s="52">
        <v>23</v>
      </c>
      <c r="E457" s="53"/>
      <c r="F457" s="52"/>
      <c r="G457" s="53"/>
      <c r="H457" s="54"/>
    </row>
    <row r="458" spans="1:16" x14ac:dyDescent="0.25">
      <c r="A458" s="123"/>
      <c r="B458" s="109"/>
      <c r="C458" s="50"/>
      <c r="E458" s="51"/>
      <c r="F458" s="52"/>
      <c r="G458" s="163"/>
      <c r="H458" s="54"/>
    </row>
    <row r="459" spans="1:16" x14ac:dyDescent="0.25">
      <c r="A459" s="123"/>
      <c r="B459" s="109"/>
      <c r="C459" s="50"/>
      <c r="E459" s="51"/>
      <c r="F459" s="52"/>
      <c r="G459" s="53"/>
      <c r="H459" s="54"/>
    </row>
    <row r="460" spans="1:16" x14ac:dyDescent="0.25">
      <c r="A460" s="105"/>
      <c r="B460" s="105"/>
      <c r="C460" s="203" t="s">
        <v>238</v>
      </c>
      <c r="D460" s="203"/>
      <c r="E460" s="203"/>
      <c r="F460" s="204" t="s">
        <v>263</v>
      </c>
      <c r="G460" s="204"/>
      <c r="H460" s="198" t="s">
        <v>361</v>
      </c>
      <c r="K460" s="50"/>
      <c r="L460" s="50"/>
      <c r="M460" s="50"/>
      <c r="N460" s="50"/>
      <c r="O460" s="50"/>
      <c r="P460" s="50"/>
    </row>
    <row r="461" spans="1:16" x14ac:dyDescent="0.25">
      <c r="A461" s="105"/>
      <c r="B461" s="105"/>
      <c r="C461" s="199" t="s">
        <v>359</v>
      </c>
      <c r="D461" s="201" t="s">
        <v>360</v>
      </c>
      <c r="E461" s="201" t="s">
        <v>365</v>
      </c>
      <c r="F461" s="143" t="s">
        <v>362</v>
      </c>
      <c r="G461" s="143" t="s">
        <v>363</v>
      </c>
      <c r="H461" s="198"/>
      <c r="K461" s="50"/>
      <c r="L461" s="50"/>
      <c r="M461" s="50"/>
      <c r="N461" s="50"/>
      <c r="O461" s="50"/>
      <c r="P461" s="50"/>
    </row>
    <row r="462" spans="1:16" x14ac:dyDescent="0.25">
      <c r="A462" s="107" t="s">
        <v>330</v>
      </c>
      <c r="B462" s="107"/>
      <c r="C462" s="200"/>
      <c r="D462" s="202"/>
      <c r="E462" s="202"/>
      <c r="F462" s="143" t="s">
        <v>366</v>
      </c>
      <c r="G462" s="143" t="s">
        <v>367</v>
      </c>
      <c r="H462" s="106" t="s">
        <v>368</v>
      </c>
    </row>
    <row r="463" spans="1:16" x14ac:dyDescent="0.25">
      <c r="A463" s="210" t="s">
        <v>233</v>
      </c>
      <c r="B463" s="113" t="s">
        <v>290</v>
      </c>
      <c r="C463" s="62">
        <v>12.9</v>
      </c>
      <c r="D463" s="63">
        <v>8</v>
      </c>
      <c r="E463" s="192">
        <f>SUM(D463:D464)</f>
        <v>9</v>
      </c>
      <c r="F463" s="63">
        <f t="shared" ref="F463:F468" si="19">D463*100000/C463</f>
        <v>62015.503875968992</v>
      </c>
      <c r="G463" s="192">
        <f>SUM(F463:F464)</f>
        <v>107470.04933051445</v>
      </c>
      <c r="H463" s="195">
        <f>E463*100000/G463</f>
        <v>8.374426229508197</v>
      </c>
    </row>
    <row r="464" spans="1:16" x14ac:dyDescent="0.25">
      <c r="A464" s="211"/>
      <c r="B464" s="115" t="s">
        <v>291</v>
      </c>
      <c r="C464" s="68">
        <v>2.2000000000000002</v>
      </c>
      <c r="D464" s="69">
        <v>1</v>
      </c>
      <c r="E464" s="194"/>
      <c r="F464" s="69">
        <f t="shared" si="19"/>
        <v>45454.545454545449</v>
      </c>
      <c r="G464" s="194"/>
      <c r="H464" s="197"/>
    </row>
    <row r="465" spans="1:8" x14ac:dyDescent="0.25">
      <c r="A465" s="210" t="s">
        <v>234</v>
      </c>
      <c r="B465" s="113" t="s">
        <v>292</v>
      </c>
      <c r="C465" s="62">
        <v>2.5</v>
      </c>
      <c r="D465" s="63">
        <v>6</v>
      </c>
      <c r="E465" s="192">
        <f>SUM(D465:D468)</f>
        <v>17</v>
      </c>
      <c r="F465" s="63">
        <f t="shared" si="19"/>
        <v>240000</v>
      </c>
      <c r="G465" s="192">
        <f>SUM(F465:F468)</f>
        <v>450844.15584415587</v>
      </c>
      <c r="H465" s="195">
        <f>E465*100000/G465</f>
        <v>3.7707043064957508</v>
      </c>
    </row>
    <row r="466" spans="1:8" x14ac:dyDescent="0.25">
      <c r="A466" s="212"/>
      <c r="B466" s="114" t="s">
        <v>293</v>
      </c>
      <c r="C466" s="65">
        <v>5.6</v>
      </c>
      <c r="D466" s="66">
        <v>1</v>
      </c>
      <c r="E466" s="193"/>
      <c r="F466" s="66">
        <f t="shared" si="19"/>
        <v>17857.142857142859</v>
      </c>
      <c r="G466" s="193"/>
      <c r="H466" s="196"/>
    </row>
    <row r="467" spans="1:8" x14ac:dyDescent="0.25">
      <c r="A467" s="212"/>
      <c r="B467" s="114" t="s">
        <v>294</v>
      </c>
      <c r="C467" s="65">
        <v>7.7</v>
      </c>
      <c r="D467" s="66">
        <v>1</v>
      </c>
      <c r="E467" s="193"/>
      <c r="F467" s="66">
        <f t="shared" si="19"/>
        <v>12987.012987012986</v>
      </c>
      <c r="G467" s="193"/>
      <c r="H467" s="196"/>
    </row>
    <row r="468" spans="1:8" x14ac:dyDescent="0.25">
      <c r="A468" s="211"/>
      <c r="B468" s="115" t="s">
        <v>269</v>
      </c>
      <c r="C468" s="68">
        <v>5</v>
      </c>
      <c r="D468" s="69">
        <v>9</v>
      </c>
      <c r="E468" s="194"/>
      <c r="F468" s="69">
        <f t="shared" si="19"/>
        <v>180000</v>
      </c>
      <c r="G468" s="194"/>
      <c r="H468" s="197"/>
    </row>
    <row r="469" spans="1:8" x14ac:dyDescent="0.25">
      <c r="A469" s="210" t="s">
        <v>235</v>
      </c>
      <c r="B469" s="113" t="s">
        <v>295</v>
      </c>
      <c r="C469" s="62">
        <v>0</v>
      </c>
      <c r="D469" s="63">
        <v>0</v>
      </c>
      <c r="E469" s="192">
        <f>SUM(D469:D483)</f>
        <v>20</v>
      </c>
      <c r="F469" s="63"/>
      <c r="G469" s="192">
        <f>SUM(F469:F483)</f>
        <v>902239.46597903594</v>
      </c>
      <c r="H469" s="195">
        <f>E469*100000/G469</f>
        <v>2.216706401586817</v>
      </c>
    </row>
    <row r="470" spans="1:8" x14ac:dyDescent="0.25">
      <c r="A470" s="212"/>
      <c r="B470" s="114" t="s">
        <v>296</v>
      </c>
      <c r="C470" s="65">
        <v>6.4</v>
      </c>
      <c r="D470" s="66">
        <v>9</v>
      </c>
      <c r="E470" s="193"/>
      <c r="F470" s="66">
        <f>D470*100000/C470</f>
        <v>140625</v>
      </c>
      <c r="G470" s="193"/>
      <c r="H470" s="196"/>
    </row>
    <row r="471" spans="1:8" x14ac:dyDescent="0.25">
      <c r="A471" s="212"/>
      <c r="B471" s="114" t="s">
        <v>297</v>
      </c>
      <c r="C471" s="65">
        <v>0</v>
      </c>
      <c r="D471" s="66">
        <v>0</v>
      </c>
      <c r="E471" s="193"/>
      <c r="F471" s="66"/>
      <c r="G471" s="193"/>
      <c r="H471" s="196"/>
    </row>
    <row r="472" spans="1:8" x14ac:dyDescent="0.25">
      <c r="A472" s="212"/>
      <c r="B472" s="114" t="s">
        <v>298</v>
      </c>
      <c r="C472" s="65">
        <v>1.1000000000000001</v>
      </c>
      <c r="D472" s="66">
        <v>1</v>
      </c>
      <c r="E472" s="193"/>
      <c r="F472" s="66">
        <f>D472*100000/C472</f>
        <v>90909.090909090897</v>
      </c>
      <c r="G472" s="193"/>
      <c r="H472" s="196"/>
    </row>
    <row r="473" spans="1:8" x14ac:dyDescent="0.25">
      <c r="A473" s="212"/>
      <c r="B473" s="114" t="s">
        <v>299</v>
      </c>
      <c r="C473" s="65">
        <v>0</v>
      </c>
      <c r="D473" s="66">
        <v>0</v>
      </c>
      <c r="E473" s="193"/>
      <c r="F473" s="66"/>
      <c r="G473" s="193"/>
      <c r="H473" s="196"/>
    </row>
    <row r="474" spans="1:8" x14ac:dyDescent="0.25">
      <c r="A474" s="212"/>
      <c r="B474" s="114" t="s">
        <v>300</v>
      </c>
      <c r="C474" s="65">
        <v>4.2</v>
      </c>
      <c r="D474" s="66">
        <v>1</v>
      </c>
      <c r="E474" s="193"/>
      <c r="F474" s="66">
        <f>D474*100000/C474</f>
        <v>23809.523809523809</v>
      </c>
      <c r="G474" s="193"/>
      <c r="H474" s="196"/>
    </row>
    <row r="475" spans="1:8" x14ac:dyDescent="0.25">
      <c r="A475" s="212"/>
      <c r="B475" s="114" t="s">
        <v>301</v>
      </c>
      <c r="C475" s="65">
        <v>0.7</v>
      </c>
      <c r="D475" s="66">
        <v>1</v>
      </c>
      <c r="E475" s="193"/>
      <c r="F475" s="66">
        <f>D475*100000/C475</f>
        <v>142857.14285714287</v>
      </c>
      <c r="G475" s="193"/>
      <c r="H475" s="196"/>
    </row>
    <row r="476" spans="1:8" x14ac:dyDescent="0.25">
      <c r="A476" s="212"/>
      <c r="B476" s="114" t="s">
        <v>302</v>
      </c>
      <c r="C476" s="65">
        <v>4.0999999999999996</v>
      </c>
      <c r="D476" s="66">
        <v>4</v>
      </c>
      <c r="E476" s="193"/>
      <c r="F476" s="66">
        <f>D476*100000/C476</f>
        <v>97560.975609756104</v>
      </c>
      <c r="G476" s="193"/>
      <c r="H476" s="196"/>
    </row>
    <row r="477" spans="1:8" x14ac:dyDescent="0.25">
      <c r="A477" s="212"/>
      <c r="B477" s="114" t="s">
        <v>303</v>
      </c>
      <c r="C477" s="65">
        <v>1.3</v>
      </c>
      <c r="D477" s="66">
        <v>2</v>
      </c>
      <c r="E477" s="193"/>
      <c r="F477" s="66">
        <f>D477*100000/C477</f>
        <v>153846.15384615384</v>
      </c>
      <c r="G477" s="193"/>
      <c r="H477" s="196"/>
    </row>
    <row r="478" spans="1:8" x14ac:dyDescent="0.25">
      <c r="A478" s="212"/>
      <c r="B478" s="114" t="s">
        <v>304</v>
      </c>
      <c r="C478" s="65">
        <v>0.5</v>
      </c>
      <c r="D478" s="66">
        <v>1</v>
      </c>
      <c r="E478" s="193"/>
      <c r="F478" s="66">
        <f>D478*100000/C478</f>
        <v>200000</v>
      </c>
      <c r="G478" s="193"/>
      <c r="H478" s="196"/>
    </row>
    <row r="479" spans="1:8" x14ac:dyDescent="0.25">
      <c r="A479" s="212"/>
      <c r="B479" s="114" t="s">
        <v>305</v>
      </c>
      <c r="C479" s="65">
        <v>0</v>
      </c>
      <c r="D479" s="66">
        <v>0</v>
      </c>
      <c r="E479" s="193"/>
      <c r="F479" s="66"/>
      <c r="G479" s="193"/>
      <c r="H479" s="196"/>
    </row>
    <row r="480" spans="1:8" x14ac:dyDescent="0.25">
      <c r="A480" s="212"/>
      <c r="B480" s="114" t="s">
        <v>306</v>
      </c>
      <c r="C480" s="65">
        <v>1.9</v>
      </c>
      <c r="D480" s="66">
        <v>1</v>
      </c>
      <c r="E480" s="193"/>
      <c r="F480" s="66">
        <f>D480*100000/C480</f>
        <v>52631.57894736842</v>
      </c>
      <c r="G480" s="193"/>
      <c r="H480" s="196"/>
    </row>
    <row r="481" spans="1:16" x14ac:dyDescent="0.25">
      <c r="A481" s="212"/>
      <c r="B481" s="114" t="s">
        <v>307</v>
      </c>
      <c r="C481" s="65">
        <v>0</v>
      </c>
      <c r="D481" s="66">
        <v>0</v>
      </c>
      <c r="E481" s="193"/>
      <c r="F481" s="66"/>
      <c r="G481" s="193"/>
      <c r="H481" s="196"/>
    </row>
    <row r="482" spans="1:16" x14ac:dyDescent="0.25">
      <c r="A482" s="212"/>
      <c r="B482" s="114" t="s">
        <v>308</v>
      </c>
      <c r="C482" s="65">
        <v>0</v>
      </c>
      <c r="D482" s="66">
        <v>0</v>
      </c>
      <c r="E482" s="193"/>
      <c r="F482" s="66"/>
      <c r="G482" s="193"/>
      <c r="H482" s="196"/>
    </row>
    <row r="483" spans="1:16" x14ac:dyDescent="0.25">
      <c r="A483" s="211"/>
      <c r="B483" s="115" t="s">
        <v>309</v>
      </c>
      <c r="C483" s="68">
        <v>0</v>
      </c>
      <c r="D483" s="69">
        <v>0</v>
      </c>
      <c r="E483" s="194"/>
      <c r="F483" s="69"/>
      <c r="G483" s="194"/>
      <c r="H483" s="197"/>
    </row>
    <row r="484" spans="1:16" x14ac:dyDescent="0.25">
      <c r="A484" s="123"/>
      <c r="B484" s="109" t="s">
        <v>310</v>
      </c>
      <c r="C484" s="50">
        <v>0</v>
      </c>
      <c r="D484" s="52">
        <v>0</v>
      </c>
      <c r="E484" s="53"/>
      <c r="F484" s="52"/>
      <c r="G484" s="53"/>
      <c r="H484" s="54"/>
    </row>
    <row r="485" spans="1:16" x14ac:dyDescent="0.25">
      <c r="A485" s="123"/>
      <c r="B485" s="109"/>
      <c r="C485" s="50"/>
      <c r="E485" s="51"/>
      <c r="F485" s="52"/>
      <c r="G485" s="163"/>
      <c r="H485" s="54"/>
    </row>
    <row r="486" spans="1:16" x14ac:dyDescent="0.25">
      <c r="A486" s="123"/>
      <c r="B486" s="109"/>
      <c r="C486" s="50"/>
      <c r="E486" s="51"/>
      <c r="F486" s="52"/>
      <c r="G486" s="53"/>
      <c r="H486" s="54"/>
    </row>
    <row r="487" spans="1:16" x14ac:dyDescent="0.25">
      <c r="A487" s="105"/>
      <c r="B487" s="105"/>
      <c r="C487" s="203" t="s">
        <v>238</v>
      </c>
      <c r="D487" s="203"/>
      <c r="E487" s="203"/>
      <c r="F487" s="204" t="s">
        <v>263</v>
      </c>
      <c r="G487" s="204"/>
      <c r="H487" s="198" t="s">
        <v>361</v>
      </c>
    </row>
    <row r="488" spans="1:16" x14ac:dyDescent="0.25">
      <c r="A488" s="105"/>
      <c r="B488" s="105"/>
      <c r="C488" s="199" t="s">
        <v>359</v>
      </c>
      <c r="D488" s="201" t="s">
        <v>360</v>
      </c>
      <c r="E488" s="201" t="s">
        <v>365</v>
      </c>
      <c r="F488" s="143" t="s">
        <v>362</v>
      </c>
      <c r="G488" s="143" t="s">
        <v>363</v>
      </c>
      <c r="H488" s="198"/>
    </row>
    <row r="489" spans="1:16" x14ac:dyDescent="0.25">
      <c r="A489" s="107" t="s">
        <v>332</v>
      </c>
      <c r="B489" s="107"/>
      <c r="C489" s="200"/>
      <c r="D489" s="202"/>
      <c r="E489" s="202"/>
      <c r="F489" s="143" t="s">
        <v>366</v>
      </c>
      <c r="G489" s="143" t="s">
        <v>367</v>
      </c>
      <c r="H489" s="106" t="s">
        <v>368</v>
      </c>
    </row>
    <row r="490" spans="1:16" x14ac:dyDescent="0.25">
      <c r="A490" s="210" t="s">
        <v>234</v>
      </c>
      <c r="B490" s="113" t="s">
        <v>292</v>
      </c>
      <c r="C490" s="62">
        <v>1.6</v>
      </c>
      <c r="D490" s="63">
        <v>7</v>
      </c>
      <c r="E490" s="192">
        <f>SUM(D490:D492)</f>
        <v>40</v>
      </c>
      <c r="F490" s="63">
        <f>D490*100000/C490</f>
        <v>437500</v>
      </c>
      <c r="G490" s="192">
        <f>SUM(F490:F492)</f>
        <v>843314.41656710475</v>
      </c>
      <c r="H490" s="195">
        <f>E490*100000/G490</f>
        <v>4.7431893981877744</v>
      </c>
    </row>
    <row r="491" spans="1:16" x14ac:dyDescent="0.25">
      <c r="A491" s="212"/>
      <c r="B491" s="114" t="s">
        <v>294</v>
      </c>
      <c r="C491" s="65">
        <v>9.3000000000000007</v>
      </c>
      <c r="D491" s="66">
        <v>1</v>
      </c>
      <c r="E491" s="193"/>
      <c r="F491" s="66">
        <f>D491*100000/C491</f>
        <v>10752.68817204301</v>
      </c>
      <c r="G491" s="193"/>
      <c r="H491" s="196"/>
    </row>
    <row r="492" spans="1:16" x14ac:dyDescent="0.25">
      <c r="A492" s="211"/>
      <c r="B492" s="115" t="s">
        <v>269</v>
      </c>
      <c r="C492" s="68">
        <v>8.1</v>
      </c>
      <c r="D492" s="69">
        <v>32</v>
      </c>
      <c r="E492" s="194"/>
      <c r="F492" s="69">
        <f>D492*100000/C492</f>
        <v>395061.72839506174</v>
      </c>
      <c r="G492" s="194"/>
      <c r="H492" s="197"/>
    </row>
    <row r="493" spans="1:16" x14ac:dyDescent="0.25">
      <c r="A493" s="210" t="s">
        <v>235</v>
      </c>
      <c r="B493" s="113" t="s">
        <v>295</v>
      </c>
      <c r="C493" s="62">
        <v>0.3</v>
      </c>
      <c r="D493" s="63">
        <v>1</v>
      </c>
      <c r="E493" s="192">
        <f>SUM(D493:D500)</f>
        <v>7</v>
      </c>
      <c r="F493" s="63">
        <f>D493*100000/C493</f>
        <v>333333.33333333337</v>
      </c>
      <c r="G493" s="192">
        <f>SUM(F493:F500)</f>
        <v>810256.41025641025</v>
      </c>
      <c r="H493" s="195">
        <f>E493*100000/G493</f>
        <v>0.86392405063291144</v>
      </c>
    </row>
    <row r="494" spans="1:16" x14ac:dyDescent="0.25">
      <c r="A494" s="212"/>
      <c r="B494" s="114" t="s">
        <v>296</v>
      </c>
      <c r="C494" s="65">
        <v>2</v>
      </c>
      <c r="D494" s="66">
        <v>4</v>
      </c>
      <c r="E494" s="193"/>
      <c r="F494" s="66">
        <f>D494*100000/C494</f>
        <v>200000</v>
      </c>
      <c r="G494" s="193"/>
      <c r="H494" s="196"/>
    </row>
    <row r="495" spans="1:16" x14ac:dyDescent="0.25">
      <c r="A495" s="212"/>
      <c r="B495" s="114" t="s">
        <v>297</v>
      </c>
      <c r="C495" s="65">
        <v>0</v>
      </c>
      <c r="D495" s="66">
        <v>0</v>
      </c>
      <c r="E495" s="193"/>
      <c r="F495" s="66"/>
      <c r="G495" s="193"/>
      <c r="H495" s="196"/>
    </row>
    <row r="496" spans="1:16" x14ac:dyDescent="0.25">
      <c r="A496" s="212"/>
      <c r="B496" s="64" t="s">
        <v>298</v>
      </c>
      <c r="C496" s="65">
        <v>0</v>
      </c>
      <c r="D496" s="66">
        <v>0</v>
      </c>
      <c r="E496" s="193"/>
      <c r="F496" s="66"/>
      <c r="G496" s="193"/>
      <c r="H496" s="196"/>
      <c r="K496" s="50"/>
      <c r="L496" s="50"/>
      <c r="M496" s="50"/>
      <c r="N496" s="50"/>
      <c r="O496" s="50"/>
      <c r="P496" s="50"/>
    </row>
    <row r="497" spans="1:16" x14ac:dyDescent="0.25">
      <c r="A497" s="212"/>
      <c r="B497" s="64" t="s">
        <v>299</v>
      </c>
      <c r="C497" s="65">
        <v>0</v>
      </c>
      <c r="D497" s="66">
        <v>0</v>
      </c>
      <c r="E497" s="193"/>
      <c r="F497" s="66"/>
      <c r="G497" s="193"/>
      <c r="H497" s="196"/>
      <c r="K497" s="50"/>
      <c r="L497" s="50"/>
      <c r="M497" s="50"/>
      <c r="N497" s="50"/>
      <c r="O497" s="50"/>
      <c r="P497" s="50"/>
    </row>
    <row r="498" spans="1:16" x14ac:dyDescent="0.25">
      <c r="A498" s="212"/>
      <c r="B498" s="64" t="s">
        <v>300</v>
      </c>
      <c r="C498" s="65">
        <v>1.3</v>
      </c>
      <c r="D498" s="66">
        <v>1</v>
      </c>
      <c r="E498" s="193"/>
      <c r="F498" s="66">
        <f>D498*100000/C498</f>
        <v>76923.076923076922</v>
      </c>
      <c r="G498" s="193"/>
      <c r="H498" s="196"/>
      <c r="K498" s="50"/>
      <c r="L498" s="50"/>
      <c r="M498" s="50"/>
      <c r="N498" s="50"/>
      <c r="O498" s="50"/>
      <c r="P498" s="50"/>
    </row>
    <row r="499" spans="1:16" x14ac:dyDescent="0.25">
      <c r="A499" s="212"/>
      <c r="B499" s="64" t="s">
        <v>301</v>
      </c>
      <c r="C499" s="65">
        <v>0</v>
      </c>
      <c r="D499" s="66">
        <v>0</v>
      </c>
      <c r="E499" s="193"/>
      <c r="F499" s="66"/>
      <c r="G499" s="193"/>
      <c r="H499" s="196"/>
      <c r="K499" s="50"/>
      <c r="L499" s="50"/>
      <c r="M499" s="50"/>
      <c r="N499" s="50"/>
      <c r="O499" s="50"/>
      <c r="P499" s="50"/>
    </row>
    <row r="500" spans="1:16" x14ac:dyDescent="0.25">
      <c r="A500" s="211"/>
      <c r="B500" s="67" t="s">
        <v>302</v>
      </c>
      <c r="C500" s="68">
        <v>0.5</v>
      </c>
      <c r="D500" s="69">
        <v>1</v>
      </c>
      <c r="E500" s="194"/>
      <c r="F500" s="69">
        <f>D500*100000/C500</f>
        <v>200000</v>
      </c>
      <c r="G500" s="194"/>
      <c r="H500" s="197"/>
      <c r="K500" s="50"/>
      <c r="L500" s="50"/>
      <c r="M500" s="50"/>
      <c r="N500" s="50"/>
      <c r="O500" s="50"/>
      <c r="P500" s="50"/>
    </row>
    <row r="501" spans="1:16" x14ac:dyDescent="0.25">
      <c r="B501" s="109" t="s">
        <v>310</v>
      </c>
      <c r="C501" s="50"/>
      <c r="D501" s="92">
        <v>8</v>
      </c>
      <c r="E501" s="51"/>
      <c r="F501" s="52"/>
      <c r="G501" s="53"/>
      <c r="H501" s="54"/>
    </row>
    <row r="502" spans="1:16" x14ac:dyDescent="0.25">
      <c r="B502" s="109"/>
      <c r="C502" s="50"/>
      <c r="E502" s="51"/>
      <c r="F502" s="52"/>
      <c r="G502" s="163"/>
      <c r="H502" s="54"/>
    </row>
    <row r="503" spans="1:16" x14ac:dyDescent="0.25">
      <c r="C503" s="50"/>
      <c r="E503" s="51"/>
      <c r="F503" s="52"/>
      <c r="G503" s="53"/>
      <c r="H503" s="54"/>
      <c r="K503" s="50"/>
      <c r="L503" s="50"/>
      <c r="M503" s="50"/>
      <c r="N503" s="50"/>
      <c r="O503" s="50"/>
      <c r="P503" s="50"/>
    </row>
    <row r="504" spans="1:16" x14ac:dyDescent="0.25">
      <c r="A504" s="105"/>
      <c r="B504" s="105"/>
      <c r="C504" s="203" t="s">
        <v>238</v>
      </c>
      <c r="D504" s="203"/>
      <c r="E504" s="203"/>
      <c r="F504" s="204" t="s">
        <v>263</v>
      </c>
      <c r="G504" s="204"/>
      <c r="H504" s="198" t="s">
        <v>361</v>
      </c>
      <c r="K504" s="50"/>
      <c r="L504" s="50"/>
      <c r="M504" s="50"/>
      <c r="N504" s="50"/>
      <c r="O504" s="50"/>
      <c r="P504" s="50"/>
    </row>
    <row r="505" spans="1:16" x14ac:dyDescent="0.25">
      <c r="A505" s="105"/>
      <c r="B505" s="105"/>
      <c r="C505" s="199" t="s">
        <v>359</v>
      </c>
      <c r="D505" s="201" t="s">
        <v>360</v>
      </c>
      <c r="E505" s="201" t="s">
        <v>365</v>
      </c>
      <c r="F505" s="143" t="s">
        <v>362</v>
      </c>
      <c r="G505" s="143" t="s">
        <v>363</v>
      </c>
      <c r="H505" s="198"/>
      <c r="K505" s="50"/>
      <c r="L505" s="50"/>
      <c r="M505" s="50"/>
      <c r="N505" s="50"/>
      <c r="O505" s="50"/>
      <c r="P505" s="50"/>
    </row>
    <row r="506" spans="1:16" x14ac:dyDescent="0.25">
      <c r="A506" s="107" t="s">
        <v>331</v>
      </c>
      <c r="B506" s="107"/>
      <c r="C506" s="200"/>
      <c r="D506" s="202"/>
      <c r="E506" s="202"/>
      <c r="F506" s="143" t="s">
        <v>366</v>
      </c>
      <c r="G506" s="143" t="s">
        <v>367</v>
      </c>
      <c r="H506" s="106" t="s">
        <v>368</v>
      </c>
    </row>
    <row r="507" spans="1:16" x14ac:dyDescent="0.25">
      <c r="A507" s="210" t="s">
        <v>233</v>
      </c>
      <c r="B507" s="113" t="s">
        <v>264</v>
      </c>
      <c r="C507" s="62">
        <v>5.0999999999999996</v>
      </c>
      <c r="D507" s="63">
        <v>2</v>
      </c>
      <c r="E507" s="192">
        <f>SUM(D507:D508)</f>
        <v>2</v>
      </c>
      <c r="F507" s="63">
        <f>D507*100000/C507</f>
        <v>39215.686274509804</v>
      </c>
      <c r="G507" s="192">
        <f>SUM(F507:F508)</f>
        <v>39215.686274509804</v>
      </c>
      <c r="H507" s="195">
        <f>E507*100000/G507</f>
        <v>5.0999999999999996</v>
      </c>
    </row>
    <row r="508" spans="1:16" x14ac:dyDescent="0.25">
      <c r="A508" s="211"/>
      <c r="B508" s="115" t="s">
        <v>265</v>
      </c>
      <c r="C508" s="68">
        <v>0</v>
      </c>
      <c r="D508" s="69">
        <v>0</v>
      </c>
      <c r="E508" s="194"/>
      <c r="F508" s="69"/>
      <c r="G508" s="194"/>
      <c r="H508" s="197"/>
    </row>
    <row r="509" spans="1:16" x14ac:dyDescent="0.25">
      <c r="A509" s="210" t="s">
        <v>234</v>
      </c>
      <c r="B509" s="113" t="s">
        <v>267</v>
      </c>
      <c r="C509" s="62">
        <v>1.4</v>
      </c>
      <c r="D509" s="63">
        <v>12</v>
      </c>
      <c r="E509" s="192">
        <f>SUM(D509:D511)</f>
        <v>25</v>
      </c>
      <c r="F509" s="63">
        <f>D509*100000/C509</f>
        <v>857142.85714285716</v>
      </c>
      <c r="G509" s="192">
        <f>SUM(F509:F511)</f>
        <v>1166666.6666666667</v>
      </c>
      <c r="H509" s="195">
        <f>E509*100000/G509</f>
        <v>2.1428571428571428</v>
      </c>
    </row>
    <row r="510" spans="1:16" x14ac:dyDescent="0.25">
      <c r="A510" s="212"/>
      <c r="B510" s="114" t="s">
        <v>268</v>
      </c>
      <c r="C510" s="65">
        <v>0</v>
      </c>
      <c r="D510" s="66">
        <v>0</v>
      </c>
      <c r="E510" s="193"/>
      <c r="F510" s="66"/>
      <c r="G510" s="193"/>
      <c r="H510" s="196"/>
    </row>
    <row r="511" spans="1:16" x14ac:dyDescent="0.25">
      <c r="A511" s="211"/>
      <c r="B511" s="115" t="s">
        <v>269</v>
      </c>
      <c r="C511" s="68">
        <v>4.2</v>
      </c>
      <c r="D511" s="69">
        <v>13</v>
      </c>
      <c r="E511" s="194"/>
      <c r="F511" s="69">
        <f>D511*100000/C511</f>
        <v>309523.80952380953</v>
      </c>
      <c r="G511" s="194"/>
      <c r="H511" s="197"/>
    </row>
    <row r="512" spans="1:16" x14ac:dyDescent="0.25">
      <c r="A512" s="210" t="s">
        <v>235</v>
      </c>
      <c r="B512" s="113" t="s">
        <v>270</v>
      </c>
      <c r="C512" s="62">
        <v>0.7</v>
      </c>
      <c r="D512" s="63">
        <v>4</v>
      </c>
      <c r="E512" s="192">
        <f>SUM(D512:D522)</f>
        <v>12</v>
      </c>
      <c r="F512" s="63">
        <f>D512*100000/C512</f>
        <v>571428.57142857148</v>
      </c>
      <c r="G512" s="192">
        <f>SUM(F512:F522)</f>
        <v>1424385.5606758834</v>
      </c>
      <c r="H512" s="195">
        <f>E512*100000/G512</f>
        <v>0.84246852336146227</v>
      </c>
    </row>
    <row r="513" spans="1:21" x14ac:dyDescent="0.25">
      <c r="A513" s="212"/>
      <c r="B513" s="114" t="s">
        <v>271</v>
      </c>
      <c r="C513" s="65">
        <v>3.1</v>
      </c>
      <c r="D513" s="66">
        <v>0</v>
      </c>
      <c r="E513" s="193"/>
      <c r="F513" s="66">
        <f>D513*100000/C513</f>
        <v>0</v>
      </c>
      <c r="G513" s="193"/>
      <c r="H513" s="196"/>
    </row>
    <row r="514" spans="1:21" x14ac:dyDescent="0.25">
      <c r="A514" s="212"/>
      <c r="B514" s="114" t="s">
        <v>272</v>
      </c>
      <c r="C514" s="65">
        <v>3.1</v>
      </c>
      <c r="D514" s="66">
        <v>5</v>
      </c>
      <c r="E514" s="193"/>
      <c r="F514" s="66">
        <f>D514*100000/C514</f>
        <v>161290.32258064515</v>
      </c>
      <c r="G514" s="193"/>
      <c r="H514" s="196"/>
    </row>
    <row r="515" spans="1:21" x14ac:dyDescent="0.25">
      <c r="A515" s="212"/>
      <c r="B515" s="114" t="s">
        <v>273</v>
      </c>
      <c r="C515" s="65">
        <v>0</v>
      </c>
      <c r="D515" s="66">
        <v>0</v>
      </c>
      <c r="E515" s="193"/>
      <c r="F515" s="66"/>
      <c r="G515" s="193"/>
      <c r="H515" s="196"/>
    </row>
    <row r="516" spans="1:21" x14ac:dyDescent="0.25">
      <c r="A516" s="212"/>
      <c r="B516" s="114" t="s">
        <v>274</v>
      </c>
      <c r="C516" s="65">
        <v>0.2</v>
      </c>
      <c r="D516" s="66">
        <v>1</v>
      </c>
      <c r="E516" s="193"/>
      <c r="F516" s="66">
        <f>D516*100000/C516</f>
        <v>500000</v>
      </c>
      <c r="G516" s="193"/>
      <c r="H516" s="196"/>
    </row>
    <row r="517" spans="1:21" x14ac:dyDescent="0.25">
      <c r="A517" s="212"/>
      <c r="B517" s="114" t="s">
        <v>275</v>
      </c>
      <c r="C517" s="65">
        <v>1.5</v>
      </c>
      <c r="D517" s="66">
        <v>1</v>
      </c>
      <c r="E517" s="193"/>
      <c r="F517" s="66">
        <f>D517*100000/C517</f>
        <v>66666.666666666672</v>
      </c>
      <c r="G517" s="193"/>
      <c r="H517" s="196"/>
    </row>
    <row r="518" spans="1:21" x14ac:dyDescent="0.25">
      <c r="A518" s="212"/>
      <c r="B518" s="114" t="s">
        <v>276</v>
      </c>
      <c r="C518" s="65">
        <v>0</v>
      </c>
      <c r="D518" s="66">
        <v>0</v>
      </c>
      <c r="E518" s="193"/>
      <c r="F518" s="66"/>
      <c r="G518" s="193"/>
      <c r="H518" s="196"/>
    </row>
    <row r="519" spans="1:21" x14ac:dyDescent="0.25">
      <c r="A519" s="212"/>
      <c r="B519" s="114" t="s">
        <v>277</v>
      </c>
      <c r="C519" s="65">
        <v>0</v>
      </c>
      <c r="D519" s="66">
        <v>0</v>
      </c>
      <c r="E519" s="193"/>
      <c r="F519" s="66"/>
      <c r="G519" s="193"/>
      <c r="H519" s="196"/>
    </row>
    <row r="520" spans="1:21" x14ac:dyDescent="0.25">
      <c r="A520" s="212"/>
      <c r="B520" s="114" t="s">
        <v>278</v>
      </c>
      <c r="C520" s="65">
        <v>0.8</v>
      </c>
      <c r="D520" s="66">
        <v>1</v>
      </c>
      <c r="E520" s="193"/>
      <c r="F520" s="66">
        <f>D520*100000/C520</f>
        <v>125000</v>
      </c>
      <c r="G520" s="193"/>
      <c r="H520" s="196"/>
    </row>
    <row r="521" spans="1:21" x14ac:dyDescent="0.25">
      <c r="A521" s="212"/>
      <c r="B521" s="114" t="s">
        <v>279</v>
      </c>
      <c r="C521" s="65">
        <v>0</v>
      </c>
      <c r="D521" s="66">
        <v>0</v>
      </c>
      <c r="E521" s="193"/>
      <c r="F521" s="66"/>
      <c r="G521" s="193"/>
      <c r="H521" s="196"/>
    </row>
    <row r="522" spans="1:21" x14ac:dyDescent="0.25">
      <c r="A522" s="211"/>
      <c r="B522" s="115" t="s">
        <v>280</v>
      </c>
      <c r="C522" s="68">
        <v>0</v>
      </c>
      <c r="D522" s="69">
        <v>0</v>
      </c>
      <c r="E522" s="194"/>
      <c r="F522" s="69"/>
      <c r="G522" s="194"/>
      <c r="H522" s="197"/>
    </row>
    <row r="523" spans="1:21" x14ac:dyDescent="0.25">
      <c r="B523" s="109" t="s">
        <v>310</v>
      </c>
      <c r="C523" s="50">
        <v>0.5</v>
      </c>
      <c r="D523" s="52">
        <v>3</v>
      </c>
      <c r="E523" s="53"/>
      <c r="F523" s="52"/>
      <c r="G523" s="53"/>
      <c r="H523" s="54"/>
    </row>
    <row r="524" spans="1:21" x14ac:dyDescent="0.25">
      <c r="B524" s="109"/>
      <c r="C524" s="50"/>
      <c r="E524" s="51"/>
      <c r="F524" s="52"/>
      <c r="G524" s="163"/>
      <c r="H524" s="54"/>
    </row>
    <row r="526" spans="1:21" x14ac:dyDescent="0.25">
      <c r="A526" s="104" t="s">
        <v>259</v>
      </c>
      <c r="B526" s="44"/>
      <c r="C526" s="45"/>
      <c r="D526" s="44"/>
      <c r="E526" s="46"/>
      <c r="F526" s="47"/>
      <c r="G526" s="48"/>
      <c r="H526" s="49"/>
      <c r="I526" s="44"/>
      <c r="J526" s="44"/>
      <c r="K526" s="45"/>
      <c r="L526" s="45"/>
      <c r="M526" s="45"/>
      <c r="N526" s="45"/>
      <c r="O526" s="45"/>
      <c r="P526" s="45"/>
      <c r="Q526" s="44"/>
      <c r="R526" s="44"/>
      <c r="S526" s="44"/>
      <c r="T526" s="44"/>
      <c r="U526" s="44"/>
    </row>
    <row r="527" spans="1:21" x14ac:dyDescent="0.25">
      <c r="A527" s="75"/>
      <c r="B527" s="75"/>
      <c r="C527" s="93"/>
      <c r="D527" s="75"/>
      <c r="E527" s="94"/>
      <c r="F527" s="95"/>
      <c r="G527" s="96"/>
      <c r="H527" s="97"/>
      <c r="K527" s="50"/>
      <c r="L527" s="50"/>
      <c r="M527" s="50"/>
      <c r="N527" s="50"/>
      <c r="O527" s="50"/>
      <c r="P527" s="50"/>
    </row>
    <row r="528" spans="1:21" x14ac:dyDescent="0.25">
      <c r="A528" s="105"/>
      <c r="B528" s="105"/>
      <c r="C528" s="203" t="s">
        <v>238</v>
      </c>
      <c r="D528" s="203"/>
      <c r="E528" s="203"/>
      <c r="F528" s="204" t="s">
        <v>263</v>
      </c>
      <c r="G528" s="204"/>
      <c r="H528" s="198" t="s">
        <v>361</v>
      </c>
      <c r="K528" s="50"/>
      <c r="L528" s="50"/>
      <c r="M528" s="50"/>
      <c r="N528" s="50"/>
      <c r="O528" s="50"/>
      <c r="P528" s="50"/>
    </row>
    <row r="529" spans="1:16" x14ac:dyDescent="0.25">
      <c r="A529" s="105"/>
      <c r="B529" s="105"/>
      <c r="C529" s="199" t="s">
        <v>359</v>
      </c>
      <c r="D529" s="201" t="s">
        <v>360</v>
      </c>
      <c r="E529" s="201" t="s">
        <v>365</v>
      </c>
      <c r="F529" s="143" t="s">
        <v>362</v>
      </c>
      <c r="G529" s="143" t="s">
        <v>363</v>
      </c>
      <c r="H529" s="198"/>
      <c r="K529" s="50"/>
      <c r="L529" s="50"/>
      <c r="M529" s="50"/>
      <c r="N529" s="50"/>
      <c r="O529" s="50"/>
      <c r="P529" s="50"/>
    </row>
    <row r="530" spans="1:16" x14ac:dyDescent="0.25">
      <c r="A530" s="107" t="s">
        <v>335</v>
      </c>
      <c r="B530" s="107"/>
      <c r="C530" s="200"/>
      <c r="D530" s="202"/>
      <c r="E530" s="202"/>
      <c r="F530" s="143" t="s">
        <v>366</v>
      </c>
      <c r="G530" s="143" t="s">
        <v>367</v>
      </c>
      <c r="H530" s="106" t="s">
        <v>368</v>
      </c>
      <c r="J530" s="222" t="s">
        <v>375</v>
      </c>
      <c r="K530" s="222"/>
      <c r="L530" s="222"/>
      <c r="M530" s="222"/>
      <c r="N530" s="222"/>
      <c r="O530" s="222"/>
      <c r="P530" s="222"/>
    </row>
    <row r="531" spans="1:16" x14ac:dyDescent="0.25">
      <c r="A531" s="210" t="s">
        <v>233</v>
      </c>
      <c r="B531" s="113" t="s">
        <v>264</v>
      </c>
      <c r="C531" s="62">
        <v>5</v>
      </c>
      <c r="D531" s="63">
        <v>1</v>
      </c>
      <c r="E531" s="192">
        <v>1</v>
      </c>
      <c r="F531" s="98">
        <f>D531*100000/C531</f>
        <v>20000</v>
      </c>
      <c r="G531" s="205">
        <f>SUM(F531:F532)</f>
        <v>20000</v>
      </c>
      <c r="H531" s="195">
        <f>E531*100000/G531</f>
        <v>5</v>
      </c>
      <c r="K531" s="50" t="s">
        <v>377</v>
      </c>
      <c r="L531" s="108" t="s">
        <v>370</v>
      </c>
      <c r="M531" s="108" t="s">
        <v>243</v>
      </c>
      <c r="N531" s="50"/>
      <c r="O531" s="50" t="s">
        <v>370</v>
      </c>
      <c r="P531" s="93" t="s">
        <v>376</v>
      </c>
    </row>
    <row r="532" spans="1:16" x14ac:dyDescent="0.25">
      <c r="A532" s="211"/>
      <c r="B532" s="115" t="s">
        <v>265</v>
      </c>
      <c r="C532" s="68">
        <v>0</v>
      </c>
      <c r="D532" s="69">
        <v>0</v>
      </c>
      <c r="E532" s="194"/>
      <c r="F532" s="99"/>
      <c r="G532" s="206"/>
      <c r="H532" s="197"/>
      <c r="J532" s="42" t="s">
        <v>233</v>
      </c>
      <c r="K532" s="50">
        <f>(H531+H552)/2</f>
        <v>48.731181279954889</v>
      </c>
      <c r="L532" s="223">
        <f>(K534+K533+K532)/3</f>
        <v>26.261298734393502</v>
      </c>
      <c r="M532" s="50" t="s">
        <v>260</v>
      </c>
      <c r="N532" s="50">
        <v>14.14</v>
      </c>
      <c r="O532" s="223">
        <f>(N532+N533+N534+N535+N536)/5</f>
        <v>12.947999999999999</v>
      </c>
      <c r="P532" s="50">
        <f>O532*K532/L532</f>
        <v>24.026661498903508</v>
      </c>
    </row>
    <row r="533" spans="1:16" x14ac:dyDescent="0.25">
      <c r="A533" s="210" t="s">
        <v>234</v>
      </c>
      <c r="B533" s="113" t="s">
        <v>266</v>
      </c>
      <c r="C533" s="62">
        <v>54</v>
      </c>
      <c r="D533" s="63">
        <v>4</v>
      </c>
      <c r="E533" s="192">
        <f>SUM(D533:D536)</f>
        <v>14</v>
      </c>
      <c r="F533" s="98">
        <f t="shared" ref="F533:F544" si="20">D533*100000/C533</f>
        <v>7407.4074074074078</v>
      </c>
      <c r="G533" s="192">
        <f>SUM(F533:F536)</f>
        <v>100264.55026455026</v>
      </c>
      <c r="H533" s="195">
        <f>E533*100000/G533</f>
        <v>13.963060686015833</v>
      </c>
      <c r="J533" s="42" t="s">
        <v>234</v>
      </c>
      <c r="K533" s="50">
        <f>(H533+H554+H569)/3</f>
        <v>19.713506489877464</v>
      </c>
      <c r="L533" s="223"/>
      <c r="M533" s="108" t="s">
        <v>336</v>
      </c>
      <c r="N533" s="50">
        <v>18.600000000000001</v>
      </c>
      <c r="O533" s="223"/>
      <c r="P533" s="50">
        <f>O532*K533/L532</f>
        <v>9.7196442800690868</v>
      </c>
    </row>
    <row r="534" spans="1:16" x14ac:dyDescent="0.25">
      <c r="A534" s="212"/>
      <c r="B534" s="114" t="s">
        <v>267</v>
      </c>
      <c r="C534" s="65">
        <v>2</v>
      </c>
      <c r="D534" s="66">
        <v>1</v>
      </c>
      <c r="E534" s="193"/>
      <c r="F534" s="100">
        <f t="shared" si="20"/>
        <v>50000</v>
      </c>
      <c r="G534" s="193"/>
      <c r="H534" s="196"/>
      <c r="J534" s="42" t="s">
        <v>235</v>
      </c>
      <c r="K534" s="50">
        <f>(H537+H558+H573)/3</f>
        <v>10.33920843334815</v>
      </c>
      <c r="L534" s="223"/>
      <c r="M534" s="108" t="s">
        <v>337</v>
      </c>
      <c r="N534" s="50">
        <v>9.4</v>
      </c>
      <c r="O534" s="223"/>
      <c r="P534" s="50">
        <f>O532*K534/L532</f>
        <v>5.0976942210273961</v>
      </c>
    </row>
    <row r="535" spans="1:16" x14ac:dyDescent="0.25">
      <c r="A535" s="212"/>
      <c r="B535" s="114" t="s">
        <v>268</v>
      </c>
      <c r="C535" s="65">
        <v>14</v>
      </c>
      <c r="D535" s="66">
        <v>3</v>
      </c>
      <c r="E535" s="193"/>
      <c r="F535" s="100">
        <f t="shared" si="20"/>
        <v>21428.571428571428</v>
      </c>
      <c r="G535" s="193"/>
      <c r="H535" s="196"/>
      <c r="K535" s="50"/>
      <c r="L535" s="101"/>
      <c r="M535" s="108" t="s">
        <v>338</v>
      </c>
      <c r="N535" s="50">
        <v>13.5</v>
      </c>
      <c r="O535" s="223"/>
      <c r="P535" s="50"/>
    </row>
    <row r="536" spans="1:16" x14ac:dyDescent="0.25">
      <c r="A536" s="211"/>
      <c r="B536" s="115" t="s">
        <v>269</v>
      </c>
      <c r="C536" s="68">
        <v>28</v>
      </c>
      <c r="D536" s="69">
        <v>6</v>
      </c>
      <c r="E536" s="194"/>
      <c r="F536" s="99">
        <f t="shared" si="20"/>
        <v>21428.571428571428</v>
      </c>
      <c r="G536" s="194"/>
      <c r="H536" s="197"/>
      <c r="M536" s="108" t="s">
        <v>345</v>
      </c>
      <c r="N536" s="50">
        <v>9.1</v>
      </c>
      <c r="O536" s="223"/>
    </row>
    <row r="537" spans="1:16" x14ac:dyDescent="0.25">
      <c r="A537" s="210" t="s">
        <v>235</v>
      </c>
      <c r="B537" s="113" t="s">
        <v>270</v>
      </c>
      <c r="C537" s="62">
        <v>0</v>
      </c>
      <c r="D537" s="63">
        <v>0</v>
      </c>
      <c r="E537" s="192">
        <f>SUM(D537:D546)</f>
        <v>8</v>
      </c>
      <c r="F537" s="98"/>
      <c r="G537" s="192">
        <f>SUM(F537:F546)</f>
        <v>166666.66666666669</v>
      </c>
      <c r="H537" s="195">
        <f>E537*100000/G537</f>
        <v>4.8</v>
      </c>
      <c r="O537" s="77"/>
    </row>
    <row r="538" spans="1:16" ht="15" customHeight="1" x14ac:dyDescent="0.25">
      <c r="A538" s="212"/>
      <c r="B538" s="114" t="s">
        <v>271</v>
      </c>
      <c r="C538" s="65">
        <v>0</v>
      </c>
      <c r="D538" s="66">
        <v>0</v>
      </c>
      <c r="E538" s="193"/>
      <c r="F538" s="100"/>
      <c r="G538" s="193"/>
      <c r="H538" s="196"/>
      <c r="J538" s="213" t="s">
        <v>347</v>
      </c>
      <c r="K538" s="214"/>
      <c r="L538" s="214"/>
      <c r="M538" s="214"/>
      <c r="N538" s="214"/>
      <c r="O538" s="214"/>
      <c r="P538" s="215"/>
    </row>
    <row r="539" spans="1:16" x14ac:dyDescent="0.25">
      <c r="A539" s="212"/>
      <c r="B539" s="114" t="s">
        <v>272</v>
      </c>
      <c r="C539" s="65">
        <v>0</v>
      </c>
      <c r="D539" s="66">
        <v>0</v>
      </c>
      <c r="E539" s="193"/>
      <c r="F539" s="100"/>
      <c r="G539" s="193"/>
      <c r="H539" s="196"/>
      <c r="J539" s="216"/>
      <c r="K539" s="217"/>
      <c r="L539" s="217"/>
      <c r="M539" s="217"/>
      <c r="N539" s="217"/>
      <c r="O539" s="217"/>
      <c r="P539" s="218"/>
    </row>
    <row r="540" spans="1:16" x14ac:dyDescent="0.25">
      <c r="A540" s="212"/>
      <c r="B540" s="114" t="s">
        <v>273</v>
      </c>
      <c r="C540" s="65">
        <v>0</v>
      </c>
      <c r="D540" s="66">
        <v>0</v>
      </c>
      <c r="E540" s="193"/>
      <c r="F540" s="100"/>
      <c r="G540" s="193"/>
      <c r="H540" s="196"/>
      <c r="J540" s="216"/>
      <c r="K540" s="217"/>
      <c r="L540" s="217"/>
      <c r="M540" s="217"/>
      <c r="N540" s="217"/>
      <c r="O540" s="217"/>
      <c r="P540" s="218"/>
    </row>
    <row r="541" spans="1:16" x14ac:dyDescent="0.25">
      <c r="A541" s="212"/>
      <c r="B541" s="114" t="s">
        <v>274</v>
      </c>
      <c r="C541" s="65">
        <v>0</v>
      </c>
      <c r="D541" s="66">
        <v>0</v>
      </c>
      <c r="E541" s="193"/>
      <c r="F541" s="100"/>
      <c r="G541" s="193"/>
      <c r="H541" s="196"/>
      <c r="J541" s="216"/>
      <c r="K541" s="217"/>
      <c r="L541" s="217"/>
      <c r="M541" s="217"/>
      <c r="N541" s="217"/>
      <c r="O541" s="217"/>
      <c r="P541" s="218"/>
    </row>
    <row r="542" spans="1:16" x14ac:dyDescent="0.25">
      <c r="A542" s="212"/>
      <c r="B542" s="114" t="s">
        <v>275</v>
      </c>
      <c r="C542" s="65">
        <v>6</v>
      </c>
      <c r="D542" s="66">
        <v>6</v>
      </c>
      <c r="E542" s="193"/>
      <c r="F542" s="100">
        <f t="shared" si="20"/>
        <v>100000</v>
      </c>
      <c r="G542" s="193"/>
      <c r="H542" s="196"/>
      <c r="J542" s="216"/>
      <c r="K542" s="217"/>
      <c r="L542" s="217"/>
      <c r="M542" s="217"/>
      <c r="N542" s="217"/>
      <c r="O542" s="217"/>
      <c r="P542" s="218"/>
    </row>
    <row r="543" spans="1:16" x14ac:dyDescent="0.25">
      <c r="A543" s="212"/>
      <c r="B543" s="114" t="s">
        <v>276</v>
      </c>
      <c r="C543" s="65">
        <v>0</v>
      </c>
      <c r="D543" s="66">
        <v>0</v>
      </c>
      <c r="E543" s="193"/>
      <c r="F543" s="100"/>
      <c r="G543" s="193"/>
      <c r="H543" s="196"/>
      <c r="J543" s="216"/>
      <c r="K543" s="217"/>
      <c r="L543" s="217"/>
      <c r="M543" s="217"/>
      <c r="N543" s="217"/>
      <c r="O543" s="217"/>
      <c r="P543" s="218"/>
    </row>
    <row r="544" spans="1:16" x14ac:dyDescent="0.25">
      <c r="A544" s="212"/>
      <c r="B544" s="114" t="s">
        <v>277</v>
      </c>
      <c r="C544" s="65">
        <v>3</v>
      </c>
      <c r="D544" s="66">
        <v>2</v>
      </c>
      <c r="E544" s="193"/>
      <c r="F544" s="100">
        <f t="shared" si="20"/>
        <v>66666.666666666672</v>
      </c>
      <c r="G544" s="193"/>
      <c r="H544" s="196"/>
      <c r="J544" s="219"/>
      <c r="K544" s="220"/>
      <c r="L544" s="220"/>
      <c r="M544" s="220"/>
      <c r="N544" s="220"/>
      <c r="O544" s="220"/>
      <c r="P544" s="221"/>
    </row>
    <row r="545" spans="1:16" x14ac:dyDescent="0.25">
      <c r="A545" s="212"/>
      <c r="B545" s="114" t="s">
        <v>278</v>
      </c>
      <c r="C545" s="65">
        <v>0</v>
      </c>
      <c r="D545" s="66">
        <v>0</v>
      </c>
      <c r="E545" s="193"/>
      <c r="F545" s="100"/>
      <c r="G545" s="193"/>
      <c r="H545" s="196"/>
      <c r="L545" s="50"/>
      <c r="M545" s="50"/>
      <c r="N545" s="50"/>
      <c r="O545" s="93"/>
      <c r="P545" s="93"/>
    </row>
    <row r="546" spans="1:16" x14ac:dyDescent="0.25">
      <c r="A546" s="211"/>
      <c r="B546" s="115" t="s">
        <v>279</v>
      </c>
      <c r="C546" s="68"/>
      <c r="D546" s="69"/>
      <c r="E546" s="194"/>
      <c r="F546" s="99"/>
      <c r="G546" s="194"/>
      <c r="H546" s="197"/>
      <c r="K546" s="50"/>
      <c r="L546" s="50"/>
      <c r="M546" s="50"/>
      <c r="N546" s="50"/>
      <c r="O546" s="103"/>
      <c r="P546" s="93"/>
    </row>
    <row r="547" spans="1:16" x14ac:dyDescent="0.25">
      <c r="A547" s="123"/>
      <c r="B547" s="109"/>
      <c r="C547" s="50"/>
      <c r="D547" s="95"/>
      <c r="E547" s="51"/>
      <c r="F547" s="100"/>
      <c r="G547" s="163"/>
      <c r="H547" s="54"/>
      <c r="K547" s="50"/>
      <c r="L547" s="50"/>
      <c r="M547" s="50"/>
      <c r="N547" s="50"/>
      <c r="O547" s="103"/>
      <c r="P547" s="93"/>
    </row>
    <row r="548" spans="1:16" x14ac:dyDescent="0.25">
      <c r="A548" s="123"/>
      <c r="B548" s="109"/>
      <c r="C548" s="50"/>
      <c r="E548" s="51"/>
      <c r="F548" s="100"/>
      <c r="G548" s="53"/>
      <c r="H548" s="54"/>
      <c r="K548" s="50"/>
      <c r="L548" s="50"/>
      <c r="M548" s="50"/>
      <c r="N548" s="50"/>
      <c r="O548" s="103"/>
      <c r="P548" s="93"/>
    </row>
    <row r="549" spans="1:16" x14ac:dyDescent="0.25">
      <c r="A549" s="105"/>
      <c r="B549" s="105"/>
      <c r="C549" s="203" t="s">
        <v>238</v>
      </c>
      <c r="D549" s="203"/>
      <c r="E549" s="203"/>
      <c r="F549" s="204" t="s">
        <v>263</v>
      </c>
      <c r="G549" s="204"/>
      <c r="H549" s="198" t="s">
        <v>361</v>
      </c>
      <c r="K549" s="50"/>
      <c r="L549" s="50"/>
      <c r="M549" s="50"/>
      <c r="N549" s="50"/>
      <c r="O549" s="103"/>
      <c r="P549" s="93"/>
    </row>
    <row r="550" spans="1:16" x14ac:dyDescent="0.25">
      <c r="A550" s="105"/>
      <c r="B550" s="105"/>
      <c r="C550" s="199" t="s">
        <v>359</v>
      </c>
      <c r="D550" s="201" t="s">
        <v>360</v>
      </c>
      <c r="E550" s="201" t="s">
        <v>365</v>
      </c>
      <c r="F550" s="143" t="s">
        <v>362</v>
      </c>
      <c r="G550" s="143" t="s">
        <v>363</v>
      </c>
      <c r="H550" s="198"/>
      <c r="K550" s="50"/>
      <c r="L550" s="50"/>
      <c r="M550" s="50"/>
      <c r="N550" s="50"/>
      <c r="O550" s="144"/>
      <c r="P550" s="93"/>
    </row>
    <row r="551" spans="1:16" x14ac:dyDescent="0.25">
      <c r="A551" s="107" t="s">
        <v>339</v>
      </c>
      <c r="B551" s="107"/>
      <c r="C551" s="200"/>
      <c r="D551" s="202"/>
      <c r="E551" s="202"/>
      <c r="F551" s="143" t="s">
        <v>366</v>
      </c>
      <c r="G551" s="143" t="s">
        <v>367</v>
      </c>
      <c r="H551" s="106" t="s">
        <v>368</v>
      </c>
      <c r="J551" s="75"/>
      <c r="K551" s="75"/>
      <c r="L551" s="75"/>
      <c r="M551" s="124"/>
      <c r="N551" s="93"/>
      <c r="O551" s="103"/>
      <c r="P551" s="75"/>
    </row>
    <row r="552" spans="1:16" x14ac:dyDescent="0.25">
      <c r="A552" s="207" t="s">
        <v>233</v>
      </c>
      <c r="B552" s="113" t="s">
        <v>244</v>
      </c>
      <c r="C552" s="62">
        <v>52</v>
      </c>
      <c r="D552" s="63">
        <v>18</v>
      </c>
      <c r="E552" s="192">
        <f>SUM(D552:D553)</f>
        <v>34</v>
      </c>
      <c r="F552" s="63">
        <f t="shared" ref="F552:F560" si="21">D552*100000/C552</f>
        <v>34615.384615384617</v>
      </c>
      <c r="G552" s="192">
        <f>SUM(F552:F553)</f>
        <v>36771.718847190547</v>
      </c>
      <c r="H552" s="195">
        <f>E552*100000/G552</f>
        <v>92.462362559909778</v>
      </c>
    </row>
    <row r="553" spans="1:16" x14ac:dyDescent="0.25">
      <c r="A553" s="208"/>
      <c r="B553" s="115" t="s">
        <v>245</v>
      </c>
      <c r="C553" s="68">
        <v>742</v>
      </c>
      <c r="D553" s="69">
        <v>16</v>
      </c>
      <c r="E553" s="194"/>
      <c r="F553" s="69">
        <f t="shared" si="21"/>
        <v>2156.3342318059299</v>
      </c>
      <c r="G553" s="194"/>
      <c r="H553" s="197"/>
      <c r="K553" s="50"/>
      <c r="L553" s="50"/>
      <c r="M553" s="50"/>
      <c r="N553" s="50"/>
      <c r="O553" s="50"/>
      <c r="P553" s="50"/>
    </row>
    <row r="554" spans="1:16" x14ac:dyDescent="0.25">
      <c r="A554" s="207" t="s">
        <v>234</v>
      </c>
      <c r="B554" s="113" t="s">
        <v>246</v>
      </c>
      <c r="C554" s="62">
        <v>1407</v>
      </c>
      <c r="D554" s="63">
        <v>335</v>
      </c>
      <c r="E554" s="192">
        <f>SUM(D554:D557)</f>
        <v>1538</v>
      </c>
      <c r="F554" s="66">
        <f t="shared" si="21"/>
        <v>23809.523809523809</v>
      </c>
      <c r="G554" s="192">
        <f>SUM(F554:F557)</f>
        <v>4338455.9884559885</v>
      </c>
      <c r="H554" s="195">
        <f>E554*100000/G554</f>
        <v>35.45039996008714</v>
      </c>
      <c r="O554" s="50"/>
      <c r="P554" s="50"/>
    </row>
    <row r="555" spans="1:16" x14ac:dyDescent="0.25">
      <c r="A555" s="209"/>
      <c r="B555" s="114" t="s">
        <v>247</v>
      </c>
      <c r="C555" s="65">
        <v>22</v>
      </c>
      <c r="D555" s="66">
        <v>541</v>
      </c>
      <c r="E555" s="193"/>
      <c r="F555" s="66">
        <f t="shared" si="21"/>
        <v>2459090.9090909092</v>
      </c>
      <c r="G555" s="193"/>
      <c r="H555" s="196"/>
      <c r="O555" s="50"/>
      <c r="P555" s="50"/>
    </row>
    <row r="556" spans="1:16" x14ac:dyDescent="0.25">
      <c r="A556" s="209"/>
      <c r="B556" s="114" t="s">
        <v>248</v>
      </c>
      <c r="C556" s="65">
        <v>24</v>
      </c>
      <c r="D556" s="66">
        <v>12</v>
      </c>
      <c r="E556" s="193"/>
      <c r="F556" s="66">
        <f t="shared" si="21"/>
        <v>50000</v>
      </c>
      <c r="G556" s="193"/>
      <c r="H556" s="196"/>
      <c r="O556" s="50"/>
      <c r="P556" s="50"/>
    </row>
    <row r="557" spans="1:16" x14ac:dyDescent="0.25">
      <c r="A557" s="208"/>
      <c r="B557" s="115" t="s">
        <v>249</v>
      </c>
      <c r="C557" s="68">
        <v>36</v>
      </c>
      <c r="D557" s="69">
        <v>650</v>
      </c>
      <c r="E557" s="194"/>
      <c r="F557" s="69">
        <f t="shared" si="21"/>
        <v>1805555.5555555555</v>
      </c>
      <c r="G557" s="194"/>
      <c r="H557" s="197"/>
      <c r="O557" s="50"/>
      <c r="P557" s="50"/>
    </row>
    <row r="558" spans="1:16" x14ac:dyDescent="0.25">
      <c r="A558" s="207" t="s">
        <v>235</v>
      </c>
      <c r="B558" s="113" t="s">
        <v>261</v>
      </c>
      <c r="C558" s="62">
        <v>17</v>
      </c>
      <c r="D558" s="63">
        <v>364</v>
      </c>
      <c r="E558" s="192">
        <f>SUM(D558:D560)</f>
        <v>640</v>
      </c>
      <c r="F558" s="66">
        <f t="shared" si="21"/>
        <v>2141176.4705882352</v>
      </c>
      <c r="G558" s="192">
        <f>SUM(F558:F560)</f>
        <v>3069083.4473324213</v>
      </c>
      <c r="H558" s="195">
        <f>E558*100000/G558</f>
        <v>20.853131268107866</v>
      </c>
      <c r="O558" s="50"/>
      <c r="P558" s="50"/>
    </row>
    <row r="559" spans="1:16" x14ac:dyDescent="0.25">
      <c r="A559" s="209"/>
      <c r="B559" s="114" t="s">
        <v>250</v>
      </c>
      <c r="C559" s="65">
        <v>43</v>
      </c>
      <c r="D559" s="66">
        <v>270</v>
      </c>
      <c r="E559" s="193"/>
      <c r="F559" s="66">
        <f t="shared" si="21"/>
        <v>627906.97674418602</v>
      </c>
      <c r="G559" s="193"/>
      <c r="H559" s="196"/>
      <c r="O559" s="50"/>
      <c r="P559" s="50"/>
    </row>
    <row r="560" spans="1:16" x14ac:dyDescent="0.25">
      <c r="A560" s="208"/>
      <c r="B560" s="115" t="s">
        <v>251</v>
      </c>
      <c r="C560" s="68">
        <v>2</v>
      </c>
      <c r="D560" s="69">
        <v>6</v>
      </c>
      <c r="E560" s="194"/>
      <c r="F560" s="69">
        <f t="shared" si="21"/>
        <v>300000</v>
      </c>
      <c r="G560" s="194"/>
      <c r="H560" s="197"/>
      <c r="O560" s="50"/>
      <c r="P560" s="50"/>
    </row>
    <row r="561" spans="1:16" x14ac:dyDescent="0.25">
      <c r="C561" s="50"/>
      <c r="D561" s="95"/>
      <c r="E561" s="51"/>
      <c r="F561" s="52"/>
      <c r="G561" s="163"/>
      <c r="H561" s="54"/>
      <c r="K561" s="50"/>
      <c r="L561" s="50"/>
      <c r="M561" s="50"/>
      <c r="N561" s="50"/>
      <c r="O561" s="50"/>
      <c r="P561" s="50"/>
    </row>
    <row r="562" spans="1:16" x14ac:dyDescent="0.25">
      <c r="C562" s="50"/>
      <c r="E562" s="51"/>
      <c r="F562" s="52"/>
      <c r="G562" s="53"/>
      <c r="H562" s="54"/>
      <c r="K562" s="50"/>
      <c r="L562" s="50"/>
      <c r="M562" s="50"/>
      <c r="N562" s="50"/>
      <c r="O562" s="50"/>
      <c r="P562" s="50"/>
    </row>
    <row r="564" spans="1:16" x14ac:dyDescent="0.25">
      <c r="A564" s="105"/>
      <c r="B564" s="105"/>
      <c r="C564" s="203" t="s">
        <v>238</v>
      </c>
      <c r="D564" s="203"/>
      <c r="E564" s="203"/>
      <c r="F564" s="204" t="s">
        <v>263</v>
      </c>
      <c r="G564" s="204"/>
      <c r="H564" s="198" t="s">
        <v>361</v>
      </c>
    </row>
    <row r="565" spans="1:16" x14ac:dyDescent="0.25">
      <c r="A565" s="105"/>
      <c r="B565" s="105"/>
      <c r="C565" s="199" t="s">
        <v>359</v>
      </c>
      <c r="D565" s="201" t="s">
        <v>360</v>
      </c>
      <c r="E565" s="201" t="s">
        <v>365</v>
      </c>
      <c r="F565" s="143" t="s">
        <v>362</v>
      </c>
      <c r="G565" s="143" t="s">
        <v>363</v>
      </c>
      <c r="H565" s="198"/>
    </row>
    <row r="566" spans="1:16" x14ac:dyDescent="0.25">
      <c r="A566" s="107" t="s">
        <v>340</v>
      </c>
      <c r="B566" s="107"/>
      <c r="C566" s="200"/>
      <c r="D566" s="202"/>
      <c r="E566" s="202"/>
      <c r="F566" s="143" t="s">
        <v>366</v>
      </c>
      <c r="G566" s="143" t="s">
        <v>367</v>
      </c>
      <c r="H566" s="106" t="s">
        <v>368</v>
      </c>
    </row>
    <row r="567" spans="1:16" x14ac:dyDescent="0.25">
      <c r="A567" s="207" t="s">
        <v>233</v>
      </c>
      <c r="B567" s="61" t="s">
        <v>264</v>
      </c>
      <c r="C567" s="62">
        <v>0</v>
      </c>
      <c r="D567" s="63">
        <v>0</v>
      </c>
      <c r="E567" s="192">
        <f>SUM(D567:D568)</f>
        <v>0</v>
      </c>
      <c r="F567" s="63"/>
      <c r="G567" s="192"/>
      <c r="H567" s="195"/>
    </row>
    <row r="568" spans="1:16" x14ac:dyDescent="0.25">
      <c r="A568" s="208"/>
      <c r="B568" s="67" t="s">
        <v>265</v>
      </c>
      <c r="C568" s="68"/>
      <c r="D568" s="69">
        <v>0</v>
      </c>
      <c r="E568" s="194"/>
      <c r="F568" s="69"/>
      <c r="G568" s="194"/>
      <c r="H568" s="197"/>
    </row>
    <row r="569" spans="1:16" x14ac:dyDescent="0.25">
      <c r="A569" s="207" t="s">
        <v>234</v>
      </c>
      <c r="B569" s="61" t="s">
        <v>266</v>
      </c>
      <c r="C569" s="62">
        <v>0</v>
      </c>
      <c r="D569" s="63">
        <v>0</v>
      </c>
      <c r="E569" s="192">
        <f>SUM(D569:D572)</f>
        <v>4</v>
      </c>
      <c r="F569" s="63"/>
      <c r="G569" s="192">
        <f>SUM(F569:F572)</f>
        <v>41122.399612965652</v>
      </c>
      <c r="H569" s="195">
        <f>E569*100000/G569</f>
        <v>9.7270588235294113</v>
      </c>
    </row>
    <row r="570" spans="1:16" x14ac:dyDescent="0.25">
      <c r="A570" s="209"/>
      <c r="B570" s="64" t="s">
        <v>267</v>
      </c>
      <c r="C570" s="65">
        <v>7.8</v>
      </c>
      <c r="D570" s="66">
        <v>1</v>
      </c>
      <c r="E570" s="193"/>
      <c r="F570" s="66">
        <f t="shared" ref="F570:F581" si="22">D570*100000/C570</f>
        <v>12820.51282051282</v>
      </c>
      <c r="G570" s="193"/>
      <c r="H570" s="196"/>
    </row>
    <row r="571" spans="1:16" x14ac:dyDescent="0.25">
      <c r="A571" s="209"/>
      <c r="B571" s="64" t="s">
        <v>268</v>
      </c>
      <c r="C571" s="65">
        <v>0</v>
      </c>
      <c r="D571" s="66">
        <v>0</v>
      </c>
      <c r="E571" s="193"/>
      <c r="F571" s="66"/>
      <c r="G571" s="193"/>
      <c r="H571" s="196"/>
    </row>
    <row r="572" spans="1:16" x14ac:dyDescent="0.25">
      <c r="A572" s="208"/>
      <c r="B572" s="67" t="s">
        <v>269</v>
      </c>
      <c r="C572" s="68">
        <v>10.6</v>
      </c>
      <c r="D572" s="69">
        <v>3</v>
      </c>
      <c r="E572" s="194"/>
      <c r="F572" s="69">
        <f t="shared" si="22"/>
        <v>28301.886792452831</v>
      </c>
      <c r="G572" s="194"/>
      <c r="H572" s="197"/>
    </row>
    <row r="573" spans="1:16" x14ac:dyDescent="0.25">
      <c r="A573" s="207" t="s">
        <v>235</v>
      </c>
      <c r="B573" s="61" t="s">
        <v>270</v>
      </c>
      <c r="C573" s="62">
        <v>0</v>
      </c>
      <c r="D573" s="63">
        <v>0</v>
      </c>
      <c r="E573" s="192">
        <f>SUM(D573:D583)</f>
        <v>9</v>
      </c>
      <c r="F573" s="63"/>
      <c r="G573" s="192">
        <f>SUM(F573:F583)</f>
        <v>167769.78306658671</v>
      </c>
      <c r="H573" s="195">
        <f>E573*100000/G573</f>
        <v>5.3644940319365855</v>
      </c>
    </row>
    <row r="574" spans="1:16" x14ac:dyDescent="0.25">
      <c r="A574" s="209"/>
      <c r="B574" s="64" t="s">
        <v>271</v>
      </c>
      <c r="C574" s="65">
        <v>2.2000000000000002</v>
      </c>
      <c r="D574" s="66">
        <v>1</v>
      </c>
      <c r="E574" s="193"/>
      <c r="F574" s="66">
        <f t="shared" si="22"/>
        <v>45454.545454545449</v>
      </c>
      <c r="G574" s="193"/>
      <c r="H574" s="196"/>
    </row>
    <row r="575" spans="1:16" x14ac:dyDescent="0.25">
      <c r="A575" s="209"/>
      <c r="B575" s="64" t="s">
        <v>272</v>
      </c>
      <c r="C575" s="65">
        <v>0</v>
      </c>
      <c r="D575" s="66">
        <v>0</v>
      </c>
      <c r="E575" s="193"/>
      <c r="F575" s="66"/>
      <c r="G575" s="193"/>
      <c r="H575" s="196"/>
    </row>
    <row r="576" spans="1:16" x14ac:dyDescent="0.25">
      <c r="A576" s="209"/>
      <c r="B576" s="64" t="s">
        <v>273</v>
      </c>
      <c r="C576" s="65">
        <v>0</v>
      </c>
      <c r="D576" s="66">
        <v>0</v>
      </c>
      <c r="E576" s="193"/>
      <c r="F576" s="66"/>
      <c r="G576" s="193"/>
      <c r="H576" s="196"/>
    </row>
    <row r="577" spans="1:8" x14ac:dyDescent="0.25">
      <c r="A577" s="209"/>
      <c r="B577" s="64" t="s">
        <v>274</v>
      </c>
      <c r="C577" s="65">
        <v>3.6</v>
      </c>
      <c r="D577" s="66">
        <v>1</v>
      </c>
      <c r="E577" s="193"/>
      <c r="F577" s="66">
        <f t="shared" si="22"/>
        <v>27777.777777777777</v>
      </c>
      <c r="G577" s="193"/>
      <c r="H577" s="196"/>
    </row>
    <row r="578" spans="1:8" x14ac:dyDescent="0.25">
      <c r="A578" s="209"/>
      <c r="B578" s="64" t="s">
        <v>275</v>
      </c>
      <c r="C578" s="65">
        <v>0</v>
      </c>
      <c r="D578" s="66">
        <v>0</v>
      </c>
      <c r="E578" s="193"/>
      <c r="F578" s="66"/>
      <c r="G578" s="193"/>
      <c r="H578" s="196"/>
    </row>
    <row r="579" spans="1:8" x14ac:dyDescent="0.25">
      <c r="A579" s="209"/>
      <c r="B579" s="64" t="s">
        <v>276</v>
      </c>
      <c r="C579" s="65">
        <v>8.1</v>
      </c>
      <c r="D579" s="66">
        <v>1</v>
      </c>
      <c r="E579" s="193"/>
      <c r="F579" s="66">
        <f t="shared" si="22"/>
        <v>12345.679012345679</v>
      </c>
      <c r="G579" s="193"/>
      <c r="H579" s="196"/>
    </row>
    <row r="580" spans="1:8" x14ac:dyDescent="0.25">
      <c r="A580" s="209"/>
      <c r="B580" s="64" t="s">
        <v>277</v>
      </c>
      <c r="C580" s="65">
        <v>0</v>
      </c>
      <c r="D580" s="66">
        <v>0</v>
      </c>
      <c r="E580" s="193"/>
      <c r="F580" s="66"/>
      <c r="G580" s="193"/>
      <c r="H580" s="196"/>
    </row>
    <row r="581" spans="1:8" x14ac:dyDescent="0.25">
      <c r="A581" s="209"/>
      <c r="B581" s="64" t="s">
        <v>278</v>
      </c>
      <c r="C581" s="65">
        <v>7.3</v>
      </c>
      <c r="D581" s="66">
        <v>6</v>
      </c>
      <c r="E581" s="193"/>
      <c r="F581" s="66">
        <f t="shared" si="22"/>
        <v>82191.780821917811</v>
      </c>
      <c r="G581" s="193"/>
      <c r="H581" s="196"/>
    </row>
    <row r="582" spans="1:8" x14ac:dyDescent="0.25">
      <c r="A582" s="209"/>
      <c r="B582" s="64" t="s">
        <v>279</v>
      </c>
      <c r="C582" s="65">
        <v>0</v>
      </c>
      <c r="D582" s="66">
        <v>0</v>
      </c>
      <c r="E582" s="193"/>
      <c r="F582" s="66"/>
      <c r="G582" s="193"/>
      <c r="H582" s="196"/>
    </row>
    <row r="583" spans="1:8" x14ac:dyDescent="0.25">
      <c r="A583" s="208"/>
      <c r="B583" s="67" t="s">
        <v>280</v>
      </c>
      <c r="C583" s="68">
        <v>0</v>
      </c>
      <c r="D583" s="69">
        <v>0</v>
      </c>
      <c r="E583" s="194"/>
      <c r="F583" s="69"/>
      <c r="G583" s="194"/>
      <c r="H583" s="197"/>
    </row>
    <row r="584" spans="1:8" x14ac:dyDescent="0.25">
      <c r="B584" s="42" t="s">
        <v>310</v>
      </c>
      <c r="C584" s="50"/>
      <c r="D584" s="92">
        <v>0</v>
      </c>
    </row>
    <row r="585" spans="1:8" x14ac:dyDescent="0.25">
      <c r="D585" s="95"/>
      <c r="G585" s="95"/>
    </row>
    <row r="586" spans="1:8" x14ac:dyDescent="0.25">
      <c r="D586" s="95"/>
      <c r="E586" s="75"/>
      <c r="F586" s="75"/>
      <c r="G586" s="95"/>
    </row>
  </sheetData>
  <mergeCells count="423">
    <mergeCell ref="H324:H339"/>
    <mergeCell ref="J143:P150"/>
    <mergeCell ref="E416:E420"/>
    <mergeCell ref="A416:A420"/>
    <mergeCell ref="G416:G420"/>
    <mergeCell ref="H416:H420"/>
    <mergeCell ref="A347:A348"/>
    <mergeCell ref="A349:A352"/>
    <mergeCell ref="A353:A361"/>
    <mergeCell ref="C315:E315"/>
    <mergeCell ref="F315:G315"/>
    <mergeCell ref="A319:A323"/>
    <mergeCell ref="E319:E323"/>
    <mergeCell ref="G319:G323"/>
    <mergeCell ref="H319:H323"/>
    <mergeCell ref="C344:E344"/>
    <mergeCell ref="F344:G344"/>
    <mergeCell ref="E347:E348"/>
    <mergeCell ref="E349:E352"/>
    <mergeCell ref="E353:E361"/>
    <mergeCell ref="G347:G348"/>
    <mergeCell ref="A161:A165"/>
    <mergeCell ref="A166:A180"/>
    <mergeCell ref="C157:E157"/>
    <mergeCell ref="E161:E165"/>
    <mergeCell ref="E166:E180"/>
    <mergeCell ref="G161:G165"/>
    <mergeCell ref="G166:G180"/>
    <mergeCell ref="G349:G352"/>
    <mergeCell ref="E188:E192"/>
    <mergeCell ref="E193:E207"/>
    <mergeCell ref="G188:G192"/>
    <mergeCell ref="G193:G207"/>
    <mergeCell ref="E238:E242"/>
    <mergeCell ref="E243:E257"/>
    <mergeCell ref="G238:G242"/>
    <mergeCell ref="G243:G257"/>
    <mergeCell ref="A324:A339"/>
    <mergeCell ref="E324:E339"/>
    <mergeCell ref="G324:G339"/>
    <mergeCell ref="J271:P271"/>
    <mergeCell ref="L273:L275"/>
    <mergeCell ref="H215:H216"/>
    <mergeCell ref="C262:E262"/>
    <mergeCell ref="F262:G262"/>
    <mergeCell ref="G298:G312"/>
    <mergeCell ref="H298:H312"/>
    <mergeCell ref="A266:A270"/>
    <mergeCell ref="E266:E270"/>
    <mergeCell ref="E221:E229"/>
    <mergeCell ref="G221:G229"/>
    <mergeCell ref="H221:H229"/>
    <mergeCell ref="H243:H257"/>
    <mergeCell ref="H238:H242"/>
    <mergeCell ref="E217:E220"/>
    <mergeCell ref="G217:G220"/>
    <mergeCell ref="H217:H220"/>
    <mergeCell ref="C234:E234"/>
    <mergeCell ref="F234:G234"/>
    <mergeCell ref="A238:A242"/>
    <mergeCell ref="A243:A257"/>
    <mergeCell ref="A188:A192"/>
    <mergeCell ref="A193:A207"/>
    <mergeCell ref="H188:H192"/>
    <mergeCell ref="H193:H207"/>
    <mergeCell ref="H262:H263"/>
    <mergeCell ref="J530:P530"/>
    <mergeCell ref="L532:L534"/>
    <mergeCell ref="C549:E549"/>
    <mergeCell ref="F549:G549"/>
    <mergeCell ref="O532:O536"/>
    <mergeCell ref="J538:P544"/>
    <mergeCell ref="H398:H408"/>
    <mergeCell ref="A469:A483"/>
    <mergeCell ref="A447:A456"/>
    <mergeCell ref="A443:A446"/>
    <mergeCell ref="H509:H511"/>
    <mergeCell ref="A512:A522"/>
    <mergeCell ref="E512:E522"/>
    <mergeCell ref="J368:P368"/>
    <mergeCell ref="G441:G442"/>
    <mergeCell ref="H441:H442"/>
    <mergeCell ref="A421:A434"/>
    <mergeCell ref="E421:E434"/>
    <mergeCell ref="G421:G434"/>
    <mergeCell ref="E447:E456"/>
    <mergeCell ref="G447:G456"/>
    <mergeCell ref="H447:H456"/>
    <mergeCell ref="H469:H483"/>
    <mergeCell ref="H463:H464"/>
    <mergeCell ref="H465:H468"/>
    <mergeCell ref="E443:E446"/>
    <mergeCell ref="G443:G446"/>
    <mergeCell ref="H443:H446"/>
    <mergeCell ref="H460:H461"/>
    <mergeCell ref="C460:E460"/>
    <mergeCell ref="F460:G460"/>
    <mergeCell ref="C461:C462"/>
    <mergeCell ref="D461:D462"/>
    <mergeCell ref="E461:E462"/>
    <mergeCell ref="E469:E483"/>
    <mergeCell ref="G469:G483"/>
    <mergeCell ref="H421:H434"/>
    <mergeCell ref="F389:G389"/>
    <mergeCell ref="A398:A408"/>
    <mergeCell ref="E398:E408"/>
    <mergeCell ref="G398:G408"/>
    <mergeCell ref="A441:A442"/>
    <mergeCell ref="E441:E442"/>
    <mergeCell ref="J374:P376"/>
    <mergeCell ref="H392:H393"/>
    <mergeCell ref="H394:H397"/>
    <mergeCell ref="H412:H413"/>
    <mergeCell ref="C413:C414"/>
    <mergeCell ref="D413:D414"/>
    <mergeCell ref="E413:E414"/>
    <mergeCell ref="H438:H439"/>
    <mergeCell ref="C439:C440"/>
    <mergeCell ref="D439:D440"/>
    <mergeCell ref="E439:E440"/>
    <mergeCell ref="C412:E412"/>
    <mergeCell ref="F412:G412"/>
    <mergeCell ref="C438:E438"/>
    <mergeCell ref="F438:G438"/>
    <mergeCell ref="A369:A370"/>
    <mergeCell ref="A375:A385"/>
    <mergeCell ref="E369:E370"/>
    <mergeCell ref="E375:E385"/>
    <mergeCell ref="G369:G370"/>
    <mergeCell ref="A509:A511"/>
    <mergeCell ref="E509:E511"/>
    <mergeCell ref="G509:G511"/>
    <mergeCell ref="A490:A492"/>
    <mergeCell ref="A493:A500"/>
    <mergeCell ref="A463:A464"/>
    <mergeCell ref="E463:E464"/>
    <mergeCell ref="G463:G464"/>
    <mergeCell ref="A465:A468"/>
    <mergeCell ref="E465:E468"/>
    <mergeCell ref="G465:G468"/>
    <mergeCell ref="G490:G492"/>
    <mergeCell ref="E490:E492"/>
    <mergeCell ref="A394:A397"/>
    <mergeCell ref="E394:E397"/>
    <mergeCell ref="G394:G397"/>
    <mergeCell ref="C389:E389"/>
    <mergeCell ref="G375:G385"/>
    <mergeCell ref="A507:A508"/>
    <mergeCell ref="E507:E508"/>
    <mergeCell ref="G507:G508"/>
    <mergeCell ref="H507:H508"/>
    <mergeCell ref="G89:G100"/>
    <mergeCell ref="H89:H100"/>
    <mergeCell ref="G64:G74"/>
    <mergeCell ref="H64:H74"/>
    <mergeCell ref="A113:A128"/>
    <mergeCell ref="E113:E128"/>
    <mergeCell ref="G113:G128"/>
    <mergeCell ref="H490:H492"/>
    <mergeCell ref="E493:E500"/>
    <mergeCell ref="G493:G500"/>
    <mergeCell ref="H493:H500"/>
    <mergeCell ref="A371:A374"/>
    <mergeCell ref="E371:E374"/>
    <mergeCell ref="G371:G374"/>
    <mergeCell ref="H371:H374"/>
    <mergeCell ref="A392:A393"/>
    <mergeCell ref="E392:E393"/>
    <mergeCell ref="G392:G393"/>
    <mergeCell ref="C366:E366"/>
    <mergeCell ref="F366:G366"/>
    <mergeCell ref="A108:A112"/>
    <mergeCell ref="J41:P41"/>
    <mergeCell ref="H83:H84"/>
    <mergeCell ref="E85:E88"/>
    <mergeCell ref="C80:E80"/>
    <mergeCell ref="F80:G80"/>
    <mergeCell ref="E83:E84"/>
    <mergeCell ref="G83:G84"/>
    <mergeCell ref="E47:E50"/>
    <mergeCell ref="G47:G50"/>
    <mergeCell ref="H47:H50"/>
    <mergeCell ref="C55:E55"/>
    <mergeCell ref="F55:G55"/>
    <mergeCell ref="E43:E46"/>
    <mergeCell ref="G43:G46"/>
    <mergeCell ref="H43:H46"/>
    <mergeCell ref="E64:E74"/>
    <mergeCell ref="L43:L45"/>
    <mergeCell ref="J82:P82"/>
    <mergeCell ref="G85:G88"/>
    <mergeCell ref="H85:H88"/>
    <mergeCell ref="A47:A50"/>
    <mergeCell ref="A43:A46"/>
    <mergeCell ref="A64:A74"/>
    <mergeCell ref="A89:A100"/>
    <mergeCell ref="E89:E100"/>
    <mergeCell ref="O43:O45"/>
    <mergeCell ref="J48:P50"/>
    <mergeCell ref="J88:P92"/>
    <mergeCell ref="J95:P95"/>
    <mergeCell ref="A58:A59"/>
    <mergeCell ref="A60:A63"/>
    <mergeCell ref="E58:E59"/>
    <mergeCell ref="G58:G59"/>
    <mergeCell ref="H58:H59"/>
    <mergeCell ref="E60:E63"/>
    <mergeCell ref="G60:G63"/>
    <mergeCell ref="H60:H63"/>
    <mergeCell ref="A85:A88"/>
    <mergeCell ref="A83:A84"/>
    <mergeCell ref="J136:P136"/>
    <mergeCell ref="G266:G270"/>
    <mergeCell ref="H266:H270"/>
    <mergeCell ref="C212:E212"/>
    <mergeCell ref="F212:G212"/>
    <mergeCell ref="A137:A138"/>
    <mergeCell ref="E137:E138"/>
    <mergeCell ref="G137:G138"/>
    <mergeCell ref="H137:H138"/>
    <mergeCell ref="A139:A142"/>
    <mergeCell ref="A143:A153"/>
    <mergeCell ref="E139:E142"/>
    <mergeCell ref="G139:G142"/>
    <mergeCell ref="H139:H142"/>
    <mergeCell ref="E143:E153"/>
    <mergeCell ref="G143:G153"/>
    <mergeCell ref="H143:H153"/>
    <mergeCell ref="A215:A216"/>
    <mergeCell ref="E215:E216"/>
    <mergeCell ref="G215:G216"/>
    <mergeCell ref="H161:H165"/>
    <mergeCell ref="H166:H180"/>
    <mergeCell ref="A218:A220"/>
    <mergeCell ref="A221:A229"/>
    <mergeCell ref="A271:A285"/>
    <mergeCell ref="E271:E285"/>
    <mergeCell ref="G271:G285"/>
    <mergeCell ref="H271:H285"/>
    <mergeCell ref="A293:A297"/>
    <mergeCell ref="E293:E297"/>
    <mergeCell ref="A298:A312"/>
    <mergeCell ref="C289:E289"/>
    <mergeCell ref="F289:G289"/>
    <mergeCell ref="G293:G297"/>
    <mergeCell ref="H293:H297"/>
    <mergeCell ref="E298:E312"/>
    <mergeCell ref="A29:A33"/>
    <mergeCell ref="E29:E33"/>
    <mergeCell ref="G29:G33"/>
    <mergeCell ref="H29:H33"/>
    <mergeCell ref="J8:P8"/>
    <mergeCell ref="A10:A13"/>
    <mergeCell ref="E10:E13"/>
    <mergeCell ref="G10:G13"/>
    <mergeCell ref="H10:H13"/>
    <mergeCell ref="L10:L12"/>
    <mergeCell ref="O10:O13"/>
    <mergeCell ref="A14:A17"/>
    <mergeCell ref="E14:E17"/>
    <mergeCell ref="G14:G17"/>
    <mergeCell ref="H14:H17"/>
    <mergeCell ref="C6:E6"/>
    <mergeCell ref="F6:G6"/>
    <mergeCell ref="C21:E21"/>
    <mergeCell ref="F21:G21"/>
    <mergeCell ref="J16:P20"/>
    <mergeCell ref="A25:A28"/>
    <mergeCell ref="E25:E28"/>
    <mergeCell ref="G25:G28"/>
    <mergeCell ref="H25:H28"/>
    <mergeCell ref="C7:C8"/>
    <mergeCell ref="D7:D8"/>
    <mergeCell ref="E7:E8"/>
    <mergeCell ref="H6:H7"/>
    <mergeCell ref="H21:H22"/>
    <mergeCell ref="C22:C23"/>
    <mergeCell ref="D22:D23"/>
    <mergeCell ref="E22:E23"/>
    <mergeCell ref="A531:A532"/>
    <mergeCell ref="A533:A536"/>
    <mergeCell ref="A537:A546"/>
    <mergeCell ref="E533:E536"/>
    <mergeCell ref="G533:G536"/>
    <mergeCell ref="H533:H536"/>
    <mergeCell ref="E537:E546"/>
    <mergeCell ref="G537:G546"/>
    <mergeCell ref="H537:H546"/>
    <mergeCell ref="A552:A553"/>
    <mergeCell ref="A554:A557"/>
    <mergeCell ref="A558:A560"/>
    <mergeCell ref="E552:E553"/>
    <mergeCell ref="G552:G553"/>
    <mergeCell ref="A567:A568"/>
    <mergeCell ref="A569:A572"/>
    <mergeCell ref="A573:A583"/>
    <mergeCell ref="E567:E568"/>
    <mergeCell ref="G567:G568"/>
    <mergeCell ref="E569:E572"/>
    <mergeCell ref="G569:G572"/>
    <mergeCell ref="E573:E583"/>
    <mergeCell ref="G573:G583"/>
    <mergeCell ref="E558:E560"/>
    <mergeCell ref="G558:G560"/>
    <mergeCell ref="C564:E564"/>
    <mergeCell ref="F564:G564"/>
    <mergeCell ref="E554:E557"/>
    <mergeCell ref="G554:G557"/>
    <mergeCell ref="H567:H568"/>
    <mergeCell ref="H569:H572"/>
    <mergeCell ref="H573:H583"/>
    <mergeCell ref="H552:H553"/>
    <mergeCell ref="G531:G532"/>
    <mergeCell ref="H531:H532"/>
    <mergeCell ref="H558:H560"/>
    <mergeCell ref="H564:H565"/>
    <mergeCell ref="C565:C566"/>
    <mergeCell ref="D565:D566"/>
    <mergeCell ref="E565:E566"/>
    <mergeCell ref="H554:H557"/>
    <mergeCell ref="H39:H40"/>
    <mergeCell ref="C40:C41"/>
    <mergeCell ref="D40:D41"/>
    <mergeCell ref="E40:E41"/>
    <mergeCell ref="H55:H56"/>
    <mergeCell ref="C56:C57"/>
    <mergeCell ref="D56:D57"/>
    <mergeCell ref="E56:E57"/>
    <mergeCell ref="H80:H81"/>
    <mergeCell ref="C81:C82"/>
    <mergeCell ref="D81:D82"/>
    <mergeCell ref="E81:E82"/>
    <mergeCell ref="C39:E39"/>
    <mergeCell ref="F39:G39"/>
    <mergeCell ref="H104:H105"/>
    <mergeCell ref="C105:C106"/>
    <mergeCell ref="D105:D106"/>
    <mergeCell ref="E105:E106"/>
    <mergeCell ref="H134:H135"/>
    <mergeCell ref="C135:C136"/>
    <mergeCell ref="D135:D136"/>
    <mergeCell ref="E135:E136"/>
    <mergeCell ref="H157:H158"/>
    <mergeCell ref="C158:C159"/>
    <mergeCell ref="D158:D159"/>
    <mergeCell ref="E158:E159"/>
    <mergeCell ref="C134:E134"/>
    <mergeCell ref="F134:G134"/>
    <mergeCell ref="H113:H128"/>
    <mergeCell ref="C104:E104"/>
    <mergeCell ref="F104:G104"/>
    <mergeCell ref="E108:E112"/>
    <mergeCell ref="G108:G112"/>
    <mergeCell ref="H108:H112"/>
    <mergeCell ref="F157:G157"/>
    <mergeCell ref="H184:H185"/>
    <mergeCell ref="C185:C186"/>
    <mergeCell ref="D185:D186"/>
    <mergeCell ref="E185:E186"/>
    <mergeCell ref="H212:H213"/>
    <mergeCell ref="C213:C214"/>
    <mergeCell ref="D213:D214"/>
    <mergeCell ref="E213:E214"/>
    <mergeCell ref="H234:H235"/>
    <mergeCell ref="C235:C236"/>
    <mergeCell ref="D235:D236"/>
    <mergeCell ref="E235:E236"/>
    <mergeCell ref="C184:E184"/>
    <mergeCell ref="F184:G184"/>
    <mergeCell ref="C263:C264"/>
    <mergeCell ref="D263:D264"/>
    <mergeCell ref="E263:E264"/>
    <mergeCell ref="H289:H290"/>
    <mergeCell ref="C290:C291"/>
    <mergeCell ref="D290:D291"/>
    <mergeCell ref="E290:E291"/>
    <mergeCell ref="H315:H316"/>
    <mergeCell ref="C316:C317"/>
    <mergeCell ref="D316:D317"/>
    <mergeCell ref="E316:E317"/>
    <mergeCell ref="C345:C346"/>
    <mergeCell ref="D345:D346"/>
    <mergeCell ref="E345:E346"/>
    <mergeCell ref="H366:H367"/>
    <mergeCell ref="C367:C368"/>
    <mergeCell ref="D367:D368"/>
    <mergeCell ref="E367:E368"/>
    <mergeCell ref="H389:H390"/>
    <mergeCell ref="C390:C391"/>
    <mergeCell ref="D390:D391"/>
    <mergeCell ref="E390:E391"/>
    <mergeCell ref="H369:H370"/>
    <mergeCell ref="H375:H385"/>
    <mergeCell ref="G353:G361"/>
    <mergeCell ref="H347:H348"/>
    <mergeCell ref="H349:H352"/>
    <mergeCell ref="H353:H361"/>
    <mergeCell ref="H344:H345"/>
    <mergeCell ref="H487:H488"/>
    <mergeCell ref="C488:C489"/>
    <mergeCell ref="D488:D489"/>
    <mergeCell ref="E488:E489"/>
    <mergeCell ref="H504:H505"/>
    <mergeCell ref="C505:C506"/>
    <mergeCell ref="D505:D506"/>
    <mergeCell ref="E505:E506"/>
    <mergeCell ref="C504:E504"/>
    <mergeCell ref="F504:G504"/>
    <mergeCell ref="C487:E487"/>
    <mergeCell ref="F487:G487"/>
    <mergeCell ref="G512:G522"/>
    <mergeCell ref="H512:H522"/>
    <mergeCell ref="H528:H529"/>
    <mergeCell ref="C529:C530"/>
    <mergeCell ref="D529:D530"/>
    <mergeCell ref="E529:E530"/>
    <mergeCell ref="H549:H550"/>
    <mergeCell ref="C550:C551"/>
    <mergeCell ref="D550:D551"/>
    <mergeCell ref="E550:E551"/>
    <mergeCell ref="C528:E528"/>
    <mergeCell ref="F528:G528"/>
    <mergeCell ref="E531:E53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Regions total</vt:lpstr>
      <vt:lpstr>High</vt:lpstr>
      <vt:lpstr>Afro</vt:lpstr>
      <vt:lpstr>Amro</vt:lpstr>
      <vt:lpstr>Emro</vt:lpstr>
      <vt:lpstr>Euro</vt:lpstr>
      <vt:lpstr>Searo</vt:lpstr>
      <vt:lpstr>Wpro</vt:lpstr>
      <vt:lpstr>Representative countries</vt:lpstr>
      <vt:lpstr>Lower and upper limit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2013-12-12T07:22:49Z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